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C:\Users\lendvai\Documents\Tesla\Model Y\"/>
    </mc:Choice>
  </mc:AlternateContent>
  <bookViews>
    <workbookView xWindow="28680" yWindow="-120" windowWidth="29040" windowHeight="16440" xr2:uid="{00000000-000D-0000-FFFF-FFFF00000000}"/>
  </bookViews>
  <sheets>
    <sheet name="Sheet1" sheetId="1" r:id="rId1"/>
  </sheets>
  <definedNames>
    <definedName name="solver_adj" localSheetId="0" hidden="1">Sheet1!#REF!</definedName>
    <definedName name="solver_cvg" localSheetId="0" hidden="1">0.0001</definedName>
    <definedName name="solver_drv" localSheetId="0" hidden="1">1</definedName>
    <definedName name="solver_eng" localSheetId="0" hidden="1">1</definedName>
    <definedName name="solver_est" localSheetId="0" hidden="1">1</definedName>
    <definedName name="solver_itr" localSheetId="0" hidden="1">2147483647</definedName>
    <definedName name="solver_mip" localSheetId="0" hidden="1">2147483647</definedName>
    <definedName name="solver_mni" localSheetId="0" hidden="1">30</definedName>
    <definedName name="solver_mrt" localSheetId="0" hidden="1">0.075</definedName>
    <definedName name="solver_msl" localSheetId="0" hidden="1">2</definedName>
    <definedName name="solver_neg" localSheetId="0" hidden="1">1</definedName>
    <definedName name="solver_nod" localSheetId="0" hidden="1">2147483647</definedName>
    <definedName name="solver_num" localSheetId="0" hidden="1">0</definedName>
    <definedName name="solver_nwt" localSheetId="0" hidden="1">1</definedName>
    <definedName name="solver_opt" localSheetId="0" hidden="1">Sheet1!$Z$52</definedName>
    <definedName name="solver_pre" localSheetId="0" hidden="1">0.000001</definedName>
    <definedName name="solver_rbv" localSheetId="0" hidden="1">1</definedName>
    <definedName name="solver_rlx" localSheetId="0" hidden="1">2</definedName>
    <definedName name="solver_rsd" localSheetId="0" hidden="1">0</definedName>
    <definedName name="solver_scl" localSheetId="0" hidden="1">1</definedName>
    <definedName name="solver_sho" localSheetId="0" hidden="1">2</definedName>
    <definedName name="solver_ssz" localSheetId="0" hidden="1">100</definedName>
    <definedName name="solver_tim" localSheetId="0" hidden="1">2147483647</definedName>
    <definedName name="solver_tol" localSheetId="0" hidden="1">0.01</definedName>
    <definedName name="solver_typ" localSheetId="0" hidden="1">3</definedName>
    <definedName name="solver_val" localSheetId="0" hidden="1">100</definedName>
    <definedName name="solver_ver" localSheetId="0" hidden="1">3</definedName>
  </definedNames>
  <calcPr calcId="191029" calcMode="autoNoTable" calcOnSave="0"/>
  <extLst>
    <ext xmlns:x14="http://schemas.microsoft.com/office/spreadsheetml/2009/9/main" uri="{79F54976-1DA5-4618-B147-4CDE4B953A38}">
      <x14:workbookPr defaultImageDpi="330"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B12" i="1" l="1"/>
  <c r="D15" i="1" s="1"/>
  <c r="O10" i="1"/>
  <c r="E15" i="1" l="1"/>
  <c r="C15" i="1"/>
  <c r="Z55" i="1"/>
  <c r="G36" i="1"/>
  <c r="Z66" i="1"/>
  <c r="Z67" i="1"/>
  <c r="Z68" i="1"/>
  <c r="Z69" i="1"/>
  <c r="Z70" i="1"/>
  <c r="Z71" i="1"/>
  <c r="Z72" i="1"/>
  <c r="Z73" i="1"/>
  <c r="Z74" i="1"/>
  <c r="Z65" i="1"/>
  <c r="Y56" i="1"/>
  <c r="Y57" i="1"/>
  <c r="Y58" i="1"/>
  <c r="Y59" i="1"/>
  <c r="Y60" i="1"/>
  <c r="Y61" i="1"/>
  <c r="Y62" i="1"/>
  <c r="Y63" i="1"/>
  <c r="Y64" i="1"/>
  <c r="Y65" i="1"/>
  <c r="Y66" i="1"/>
  <c r="Y67" i="1"/>
  <c r="Y68" i="1"/>
  <c r="Y69" i="1"/>
  <c r="Y70" i="1"/>
  <c r="Y71" i="1"/>
  <c r="Y72" i="1"/>
  <c r="Y73" i="1"/>
  <c r="Y74" i="1"/>
  <c r="Y55" i="1"/>
  <c r="S66" i="1"/>
  <c r="S67" i="1"/>
  <c r="S68" i="1"/>
  <c r="S69" i="1"/>
  <c r="S70" i="1"/>
  <c r="S71" i="1"/>
  <c r="S72" i="1"/>
  <c r="S73" i="1"/>
  <c r="S74" i="1"/>
  <c r="S65" i="1"/>
  <c r="S56" i="1"/>
  <c r="S57" i="1"/>
  <c r="U57" i="1" s="1"/>
  <c r="S58" i="1"/>
  <c r="S59" i="1"/>
  <c r="S60" i="1"/>
  <c r="U61" i="1" s="1"/>
  <c r="S61" i="1"/>
  <c r="S62" i="1"/>
  <c r="S63" i="1"/>
  <c r="S64" i="1"/>
  <c r="S55" i="1"/>
  <c r="S54" i="1"/>
  <c r="B17" i="1"/>
  <c r="C20" i="1"/>
  <c r="C21" i="1"/>
  <c r="C22" i="1"/>
  <c r="C23" i="1"/>
  <c r="C24" i="1"/>
  <c r="C25" i="1"/>
  <c r="C26" i="1"/>
  <c r="C27" i="1"/>
  <c r="C28" i="1"/>
  <c r="C29" i="1"/>
  <c r="C30" i="1"/>
  <c r="C31" i="1"/>
  <c r="C32" i="1"/>
  <c r="C33" i="1"/>
  <c r="C34" i="1"/>
  <c r="C35" i="1"/>
  <c r="C36" i="1"/>
  <c r="C37" i="1"/>
  <c r="C38" i="1"/>
  <c r="C39" i="1"/>
  <c r="C40" i="1"/>
  <c r="C41" i="1"/>
  <c r="C42" i="1"/>
  <c r="C43" i="1"/>
  <c r="C19" i="1"/>
  <c r="E10" i="1"/>
  <c r="M10" i="1"/>
  <c r="C10" i="1"/>
  <c r="U62" i="1" l="1"/>
  <c r="U60" i="1"/>
  <c r="U55" i="1"/>
  <c r="D27" i="1"/>
  <c r="E27" i="1" s="1"/>
  <c r="U63" i="1"/>
  <c r="U64" i="1"/>
  <c r="Y52" i="1"/>
  <c r="U58" i="1"/>
  <c r="U56" i="1"/>
  <c r="D29" i="1"/>
  <c r="E29" i="1" s="1"/>
  <c r="D28" i="1"/>
  <c r="E28" i="1" s="1"/>
  <c r="D39" i="1"/>
  <c r="E39" i="1" s="1"/>
  <c r="U59" i="1"/>
  <c r="D41" i="1"/>
  <c r="E41" i="1" s="1"/>
  <c r="D19" i="1"/>
  <c r="E19" i="1" s="1"/>
  <c r="D23" i="1"/>
  <c r="E23" i="1" s="1"/>
  <c r="D21" i="1"/>
  <c r="E21" i="1" s="1"/>
  <c r="D37" i="1"/>
  <c r="E37" i="1" s="1"/>
  <c r="D38" i="1"/>
  <c r="E38" i="1" s="1"/>
  <c r="D36" i="1"/>
  <c r="E36" i="1" s="1"/>
  <c r="D31" i="1"/>
  <c r="E31" i="1" s="1"/>
  <c r="D22" i="1"/>
  <c r="E22" i="1" s="1"/>
  <c r="D42" i="1"/>
  <c r="E42" i="1" s="1"/>
  <c r="D35" i="1"/>
  <c r="E35" i="1" s="1"/>
  <c r="D25" i="1"/>
  <c r="E25" i="1" s="1"/>
  <c r="D20" i="1"/>
  <c r="E20" i="1" s="1"/>
  <c r="D40" i="1"/>
  <c r="E40" i="1" s="1"/>
  <c r="D30" i="1"/>
  <c r="E30" i="1" s="1"/>
  <c r="D26" i="1"/>
  <c r="E26" i="1" s="1"/>
  <c r="D24" i="1"/>
  <c r="E24" i="1" s="1"/>
  <c r="D43" i="1"/>
  <c r="E43" i="1" s="1"/>
  <c r="D33" i="1"/>
  <c r="E33" i="1" s="1"/>
  <c r="D34" i="1"/>
  <c r="E34" i="1" s="1"/>
  <c r="D32" i="1"/>
  <c r="E32" i="1" s="1"/>
  <c r="G23" i="1"/>
  <c r="G29" i="1"/>
  <c r="G42" i="1"/>
  <c r="G30" i="1"/>
  <c r="G27" i="1"/>
  <c r="G39" i="1"/>
  <c r="G19" i="1"/>
  <c r="G25" i="1"/>
  <c r="G38" i="1"/>
  <c r="G37" i="1"/>
  <c r="G26" i="1"/>
  <c r="G43" i="1"/>
  <c r="G28" i="1"/>
  <c r="G35" i="1"/>
  <c r="G40" i="1"/>
  <c r="G20" i="1"/>
  <c r="G33" i="1"/>
  <c r="G32" i="1"/>
  <c r="G41" i="1"/>
  <c r="G21" i="1"/>
  <c r="G31" i="1"/>
  <c r="G34" i="1"/>
  <c r="G24" i="1"/>
  <c r="G22" i="1"/>
  <c r="B15" i="1"/>
  <c r="N10" i="1" s="1"/>
  <c r="F37" i="1" s="1"/>
  <c r="H37" i="1" s="1"/>
  <c r="F30" i="1" l="1"/>
  <c r="H30" i="1" s="1"/>
  <c r="F31" i="1"/>
  <c r="H31" i="1" s="1"/>
  <c r="F29" i="1"/>
  <c r="H29" i="1" s="1"/>
  <c r="F33" i="1"/>
  <c r="H33" i="1" s="1"/>
  <c r="F38" i="1"/>
  <c r="H38" i="1" s="1"/>
  <c r="F43" i="1"/>
  <c r="H43" i="1" s="1"/>
  <c r="F25" i="1"/>
  <c r="H25" i="1" s="1"/>
  <c r="F42" i="1"/>
  <c r="H42" i="1" s="1"/>
  <c r="F21" i="1"/>
  <c r="H21" i="1" s="1"/>
  <c r="F27" i="1"/>
  <c r="H27" i="1" s="1"/>
  <c r="F28" i="1"/>
  <c r="H28" i="1" s="1"/>
  <c r="F20" i="1"/>
  <c r="H20" i="1" s="1"/>
  <c r="F39" i="1"/>
  <c r="H39" i="1" s="1"/>
  <c r="F24" i="1"/>
  <c r="H24" i="1" s="1"/>
  <c r="F32" i="1"/>
  <c r="H32" i="1" s="1"/>
  <c r="F34" i="1"/>
  <c r="H34" i="1" s="1"/>
  <c r="F36" i="1"/>
  <c r="H36" i="1" s="1"/>
  <c r="F35" i="1"/>
  <c r="H35" i="1" s="1"/>
  <c r="F40" i="1"/>
  <c r="H40" i="1" s="1"/>
  <c r="F41" i="1"/>
  <c r="H41" i="1" s="1"/>
  <c r="F19" i="1"/>
  <c r="H19" i="1" s="1"/>
  <c r="F22" i="1"/>
  <c r="H22" i="1" s="1"/>
  <c r="F23" i="1"/>
  <c r="H23" i="1" s="1"/>
  <c r="F26" i="1"/>
  <c r="H26" i="1" s="1"/>
  <c r="L33" i="1"/>
  <c r="L37" i="1"/>
  <c r="L40" i="1" l="1"/>
  <c r="L27" i="1"/>
  <c r="L30" i="1"/>
  <c r="I34" i="1"/>
  <c r="J34" i="1" s="1"/>
  <c r="K34" i="1" s="1"/>
  <c r="L42" i="1"/>
  <c r="L23" i="1"/>
  <c r="L32" i="1"/>
  <c r="L25" i="1"/>
  <c r="I29" i="1"/>
  <c r="J29" i="1" s="1"/>
  <c r="K29" i="1" s="1"/>
  <c r="I35" i="1"/>
  <c r="J35" i="1" s="1"/>
  <c r="K35" i="1" s="1"/>
  <c r="L31" i="1"/>
  <c r="L36" i="1"/>
  <c r="I21" i="1"/>
  <c r="J21" i="1" s="1"/>
  <c r="K21" i="1" s="1"/>
  <c r="L26" i="1"/>
  <c r="I22" i="1"/>
  <c r="J22" i="1" s="1"/>
  <c r="K22" i="1" s="1"/>
  <c r="I24" i="1"/>
  <c r="J24" i="1" s="1"/>
  <c r="K24" i="1" s="1"/>
  <c r="L43" i="1"/>
  <c r="I28" i="1"/>
  <c r="J28" i="1" s="1"/>
  <c r="K28" i="1" s="1"/>
  <c r="I19" i="1"/>
  <c r="J19" i="1" s="1"/>
  <c r="K19" i="1" s="1"/>
  <c r="I38" i="1"/>
  <c r="J38" i="1" s="1"/>
  <c r="K38" i="1" s="1"/>
  <c r="I41" i="1"/>
  <c r="J41" i="1" s="1"/>
  <c r="K41" i="1" s="1"/>
  <c r="L20" i="1"/>
  <c r="I31" i="1"/>
  <c r="J31" i="1" s="1"/>
  <c r="K31" i="1" s="1"/>
  <c r="I39" i="1"/>
  <c r="J39" i="1" s="1"/>
  <c r="K39" i="1" s="1"/>
  <c r="L39" i="1"/>
  <c r="L28" i="1"/>
  <c r="I20" i="1"/>
  <c r="J20" i="1" s="1"/>
  <c r="K20" i="1" s="1"/>
  <c r="I32" i="1"/>
  <c r="J32" i="1" s="1"/>
  <c r="K32" i="1" s="1"/>
  <c r="L29" i="1"/>
  <c r="I33" i="1"/>
  <c r="J33" i="1" s="1"/>
  <c r="K33" i="1" s="1"/>
  <c r="M33" i="1" s="1"/>
  <c r="I23" i="1"/>
  <c r="J23" i="1" s="1"/>
  <c r="K23" i="1" s="1"/>
  <c r="I27" i="1"/>
  <c r="J27" i="1" s="1"/>
  <c r="K27" i="1" s="1"/>
  <c r="I26" i="1"/>
  <c r="J26" i="1" s="1"/>
  <c r="K26" i="1" s="1"/>
  <c r="L34" i="1"/>
  <c r="I30" i="1"/>
  <c r="J30" i="1" s="1"/>
  <c r="K30" i="1" s="1"/>
  <c r="I37" i="1"/>
  <c r="J37" i="1" s="1"/>
  <c r="K37" i="1" s="1"/>
  <c r="M37" i="1" s="1"/>
  <c r="I25" i="1"/>
  <c r="J25" i="1" s="1"/>
  <c r="K25" i="1" s="1"/>
  <c r="L35" i="1"/>
  <c r="I43" i="1"/>
  <c r="J43" i="1" s="1"/>
  <c r="K43" i="1" s="1"/>
  <c r="L19" i="1"/>
  <c r="I40" i="1"/>
  <c r="J40" i="1" s="1"/>
  <c r="K40" i="1" s="1"/>
  <c r="L22" i="1"/>
  <c r="M26" i="1" l="1"/>
  <c r="O26" i="1" s="1"/>
  <c r="M27" i="1"/>
  <c r="O27" i="1" s="1"/>
  <c r="M20" i="1"/>
  <c r="N20" i="1" s="1"/>
  <c r="M31" i="1"/>
  <c r="O31" i="1" s="1"/>
  <c r="M35" i="1"/>
  <c r="O35" i="1" s="1"/>
  <c r="M23" i="1"/>
  <c r="N23" i="1" s="1"/>
  <c r="L41" i="1"/>
  <c r="M41" i="1" s="1"/>
  <c r="L21" i="1"/>
  <c r="M21" i="1" s="1"/>
  <c r="L38" i="1"/>
  <c r="M38" i="1" s="1"/>
  <c r="L24" i="1"/>
  <c r="M24" i="1" s="1"/>
  <c r="O24" i="1" s="1"/>
  <c r="I36" i="1"/>
  <c r="J36" i="1" s="1"/>
  <c r="K36" i="1" s="1"/>
  <c r="M36" i="1" s="1"/>
  <c r="M25" i="1"/>
  <c r="N25" i="1" s="1"/>
  <c r="I42" i="1"/>
  <c r="J42" i="1" s="1"/>
  <c r="K42" i="1" s="1"/>
  <c r="M42" i="1" s="1"/>
  <c r="O42" i="1" s="1"/>
  <c r="M30" i="1"/>
  <c r="N30" i="1" s="1"/>
  <c r="M22" i="1"/>
  <c r="O22" i="1" s="1"/>
  <c r="M29" i="1"/>
  <c r="N29" i="1" s="1"/>
  <c r="M43" i="1"/>
  <c r="N43" i="1" s="1"/>
  <c r="M40" i="1"/>
  <c r="N40" i="1" s="1"/>
  <c r="M19" i="1"/>
  <c r="O19" i="1" s="1"/>
  <c r="M34" i="1"/>
  <c r="O34" i="1" s="1"/>
  <c r="M32" i="1"/>
  <c r="N32" i="1" s="1"/>
  <c r="T55" i="1"/>
  <c r="V55" i="1" s="1"/>
  <c r="W55" i="1" s="1"/>
  <c r="M28" i="1"/>
  <c r="O28" i="1" s="1"/>
  <c r="M39" i="1"/>
  <c r="O39" i="1" s="1"/>
  <c r="N31" i="1"/>
  <c r="N27" i="1"/>
  <c r="O33" i="1"/>
  <c r="N33" i="1"/>
  <c r="O37" i="1"/>
  <c r="N37" i="1"/>
  <c r="O30" i="1"/>
  <c r="O20" i="1"/>
  <c r="N26" i="1" l="1"/>
  <c r="O23" i="1"/>
  <c r="N22" i="1"/>
  <c r="O40" i="1"/>
  <c r="N36" i="1"/>
  <c r="O36" i="1"/>
  <c r="N42" i="1"/>
  <c r="N35" i="1"/>
  <c r="N34" i="1"/>
  <c r="N19" i="1"/>
  <c r="O38" i="1"/>
  <c r="N38" i="1"/>
  <c r="O21" i="1"/>
  <c r="N21" i="1"/>
  <c r="N41" i="1"/>
  <c r="O41" i="1"/>
  <c r="N24" i="1"/>
  <c r="O29" i="1"/>
  <c r="O43" i="1"/>
  <c r="O32" i="1"/>
  <c r="O25" i="1"/>
  <c r="N28" i="1"/>
  <c r="N39" i="1"/>
  <c r="T56" i="1"/>
  <c r="V56" i="1" s="1"/>
  <c r="W56" i="1" s="1"/>
  <c r="Z56" i="1"/>
  <c r="T52" i="1"/>
  <c r="V52" i="1" s="1"/>
  <c r="Z57" i="1" l="1"/>
  <c r="T57" i="1" l="1"/>
  <c r="V57" i="1" s="1"/>
  <c r="W57" i="1" s="1"/>
  <c r="Z58" i="1" s="1"/>
  <c r="T58" i="1" l="1"/>
  <c r="V58" i="1" s="1"/>
  <c r="W58" i="1" s="1"/>
  <c r="Z59" i="1" s="1"/>
  <c r="T59" i="1" l="1"/>
  <c r="V59" i="1" s="1"/>
  <c r="W59" i="1" s="1"/>
  <c r="Z60" i="1" s="1"/>
  <c r="T60" i="1" l="1"/>
  <c r="V60" i="1" s="1"/>
  <c r="W60" i="1" s="1"/>
  <c r="T61" i="1" l="1"/>
  <c r="V61" i="1" s="1"/>
  <c r="W61" i="1" s="1"/>
  <c r="Z61" i="1"/>
  <c r="T62" i="1" l="1"/>
  <c r="V62" i="1" s="1"/>
  <c r="W62" i="1" s="1"/>
  <c r="Z62" i="1"/>
  <c r="Z63" i="1" l="1"/>
  <c r="T63" i="1"/>
  <c r="V63" i="1" s="1"/>
  <c r="W63" i="1" s="1"/>
  <c r="Z64" i="1" l="1"/>
  <c r="Z52" i="1" s="1"/>
  <c r="T64" i="1" l="1"/>
  <c r="V64" i="1" s="1"/>
  <c r="W64" i="1" s="1"/>
</calcChain>
</file>

<file path=xl/sharedStrings.xml><?xml version="1.0" encoding="utf-8"?>
<sst xmlns="http://schemas.openxmlformats.org/spreadsheetml/2006/main" count="59" uniqueCount="44">
  <si>
    <t xml:space="preserve">https://www.youtube.com/watch?v=zvavP2RJSLc&amp;t=1560s </t>
  </si>
  <si>
    <t>0°</t>
  </si>
  <si>
    <t>20°</t>
  </si>
  <si>
    <t>30°</t>
  </si>
  <si>
    <t>10°</t>
  </si>
  <si>
    <t>Geschwindigkeit
in km/h</t>
  </si>
  <si>
    <t>Geschwindigkeit
in m/s</t>
  </si>
  <si>
    <t>Luftwiderstands-
kraft in N</t>
  </si>
  <si>
    <t>19" Sommer</t>
  </si>
  <si>
    <t>Rollwiderstand in N</t>
  </si>
  <si>
    <t>Rollwiderstand</t>
  </si>
  <si>
    <t>C-Rate</t>
  </si>
  <si>
    <t>Entnehmbare Kapazität in %</t>
  </si>
  <si>
    <t>Entnehmbare Kapazität in kWh</t>
  </si>
  <si>
    <t>Verbrauch in Wh/km</t>
  </si>
  <si>
    <t>Benötigte Gesamtleistung in kW</t>
  </si>
  <si>
    <t>Reichweite von 100%-0% SoC in km</t>
  </si>
  <si>
    <t>Reichweite von 90%-10% SoC in km</t>
  </si>
  <si>
    <t>Fahrzeit in Stunden</t>
  </si>
  <si>
    <t>Aussentemperatur</t>
  </si>
  <si>
    <t>Benötigte Leistung in kW</t>
  </si>
  <si>
    <t>Heizung An/Aus</t>
  </si>
  <si>
    <t>Reifen</t>
  </si>
  <si>
    <t>Auswahl</t>
  </si>
  <si>
    <t>Modell</t>
  </si>
  <si>
    <t>Gewicht des Fahrers in kg</t>
  </si>
  <si>
    <t>AC/Heizung</t>
  </si>
  <si>
    <t>Zeit in sec</t>
  </si>
  <si>
    <t>Hight in m</t>
  </si>
  <si>
    <t>Drag Coefficient cW</t>
  </si>
  <si>
    <r>
      <t>Fronatal Area in m</t>
    </r>
    <r>
      <rPr>
        <b/>
        <vertAlign val="superscript"/>
        <sz val="11"/>
        <color theme="0"/>
        <rFont val="Calibri"/>
        <family val="2"/>
        <scheme val="minor"/>
      </rPr>
      <t>2</t>
    </r>
  </si>
  <si>
    <t>An</t>
  </si>
  <si>
    <t>19" Winter</t>
  </si>
  <si>
    <t>21" Sommer</t>
  </si>
  <si>
    <t>21" Winter</t>
  </si>
  <si>
    <t>MS LR</t>
  </si>
  <si>
    <t>MS PLAID</t>
  </si>
  <si>
    <t>Max. usable Kapazität eines neuen Akkus in kWh</t>
  </si>
  <si>
    <t>Heizung/Klima aus</t>
  </si>
  <si>
    <t>Heizung/Klima an</t>
  </si>
  <si>
    <t>Leistung in kW</t>
  </si>
  <si>
    <t>Leistung der Wärmepumpe inklusive Leerleistung (AP Computer etc.)</t>
  </si>
  <si>
    <t>Leergewicht des Fahrzeugs inklusive Fahrer in kg</t>
  </si>
  <si>
    <r>
      <t>Luftdichte in kg/m</t>
    </r>
    <r>
      <rPr>
        <vertAlign val="superscript"/>
        <sz val="11"/>
        <color theme="0"/>
        <rFont val="Calibri"/>
        <family val="2"/>
        <scheme val="minor"/>
      </rPr>
      <t>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</si>
</sst>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vertAlign val="superscript"/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vertAlign val="superscript"/>
      <sz val="11"/>
      <color theme="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</borders>
  <cellStyleXfs count="3">
    <xf numFmtId="0" fontId="0" fillId="0" borderId="0"/>
    <xf numFmtId="9" fontId="3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111">
    <xf numFmtId="0" fontId="0" fillId="0" borderId="0" xfId="0"/>
    <xf numFmtId="0" fontId="5" fillId="0" borderId="0" xfId="2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9" fontId="0" fillId="0" borderId="0" xfId="0" applyNumberFormat="1"/>
    <xf numFmtId="9" fontId="0" fillId="0" borderId="1" xfId="1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9" fontId="0" fillId="0" borderId="3" xfId="1" applyNumberFormat="1" applyFont="1" applyBorder="1" applyAlignment="1">
      <alignment horizontal="center"/>
    </xf>
    <xf numFmtId="9" fontId="0" fillId="3" borderId="1" xfId="1" applyNumberFormat="1" applyFont="1" applyFill="1" applyBorder="1" applyAlignment="1">
      <alignment horizontal="center"/>
    </xf>
    <xf numFmtId="164" fontId="0" fillId="3" borderId="1" xfId="0" applyNumberFormat="1" applyFill="1" applyBorder="1" applyAlignment="1">
      <alignment horizontal="center"/>
    </xf>
    <xf numFmtId="1" fontId="0" fillId="3" borderId="1" xfId="0" applyNumberFormat="1" applyFill="1" applyBorder="1" applyAlignment="1">
      <alignment horizontal="center"/>
    </xf>
    <xf numFmtId="9" fontId="0" fillId="4" borderId="1" xfId="1" applyNumberFormat="1" applyFont="1" applyFill="1" applyBorder="1" applyAlignment="1">
      <alignment horizontal="center"/>
    </xf>
    <xf numFmtId="164" fontId="0" fillId="4" borderId="1" xfId="0" applyNumberFormat="1" applyFill="1" applyBorder="1" applyAlignment="1">
      <alignment horizontal="center"/>
    </xf>
    <xf numFmtId="1" fontId="0" fillId="4" borderId="1" xfId="0" applyNumberFormat="1" applyFill="1" applyBorder="1" applyAlignment="1">
      <alignment horizontal="center"/>
    </xf>
    <xf numFmtId="9" fontId="0" fillId="5" borderId="1" xfId="1" applyNumberFormat="1" applyFont="1" applyFill="1" applyBorder="1" applyAlignment="1">
      <alignment horizontal="center"/>
    </xf>
    <xf numFmtId="164" fontId="0" fillId="5" borderId="1" xfId="0" applyNumberFormat="1" applyFill="1" applyBorder="1" applyAlignment="1">
      <alignment horizontal="center"/>
    </xf>
    <xf numFmtId="1" fontId="0" fillId="5" borderId="1" xfId="0" applyNumberFormat="1" applyFill="1" applyBorder="1" applyAlignment="1">
      <alignment horizontal="center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0" fillId="0" borderId="12" xfId="0" applyBorder="1" applyAlignment="1">
      <alignment horizontal="center" vertical="center"/>
    </xf>
    <xf numFmtId="164" fontId="0" fillId="0" borderId="13" xfId="0" applyNumberForma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164" fontId="0" fillId="0" borderId="15" xfId="0" applyNumberFormat="1" applyBorder="1" applyAlignment="1">
      <alignment horizontal="center" vertical="center"/>
    </xf>
    <xf numFmtId="0" fontId="0" fillId="3" borderId="14" xfId="0" applyFill="1" applyBorder="1" applyAlignment="1">
      <alignment horizontal="center" vertical="center"/>
    </xf>
    <xf numFmtId="164" fontId="0" fillId="3" borderId="15" xfId="0" applyNumberFormat="1" applyFill="1" applyBorder="1" applyAlignment="1">
      <alignment horizontal="center" vertical="center"/>
    </xf>
    <xf numFmtId="0" fontId="0" fillId="4" borderId="14" xfId="0" applyFill="1" applyBorder="1" applyAlignment="1">
      <alignment horizontal="center" vertical="center"/>
    </xf>
    <xf numFmtId="164" fontId="0" fillId="4" borderId="15" xfId="0" applyNumberFormat="1" applyFill="1" applyBorder="1" applyAlignment="1">
      <alignment horizontal="center" vertical="center"/>
    </xf>
    <xf numFmtId="0" fontId="0" fillId="5" borderId="14" xfId="0" applyFill="1" applyBorder="1" applyAlignment="1">
      <alignment horizontal="center" vertical="center"/>
    </xf>
    <xf numFmtId="164" fontId="0" fillId="5" borderId="15" xfId="0" applyNumberForma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164" fontId="0" fillId="0" borderId="9" xfId="0" applyNumberFormat="1" applyBorder="1" applyAlignment="1">
      <alignment horizontal="center" vertical="center"/>
    </xf>
    <xf numFmtId="164" fontId="0" fillId="0" borderId="12" xfId="0" applyNumberFormat="1" applyBorder="1" applyAlignment="1">
      <alignment horizontal="center" vertical="center"/>
    </xf>
    <xf numFmtId="2" fontId="0" fillId="0" borderId="13" xfId="0" applyNumberFormat="1" applyBorder="1" applyAlignment="1">
      <alignment horizontal="center"/>
    </xf>
    <xf numFmtId="164" fontId="0" fillId="0" borderId="14" xfId="0" applyNumberFormat="1" applyBorder="1" applyAlignment="1">
      <alignment horizontal="center" vertical="center"/>
    </xf>
    <xf numFmtId="2" fontId="0" fillId="0" borderId="15" xfId="0" applyNumberFormat="1" applyBorder="1" applyAlignment="1">
      <alignment horizontal="center"/>
    </xf>
    <xf numFmtId="164" fontId="0" fillId="3" borderId="14" xfId="0" applyNumberFormat="1" applyFill="1" applyBorder="1" applyAlignment="1">
      <alignment horizontal="center" vertical="center"/>
    </xf>
    <xf numFmtId="2" fontId="0" fillId="3" borderId="15" xfId="0" applyNumberFormat="1" applyFill="1" applyBorder="1" applyAlignment="1">
      <alignment horizontal="center"/>
    </xf>
    <xf numFmtId="164" fontId="0" fillId="4" borderId="14" xfId="0" applyNumberFormat="1" applyFill="1" applyBorder="1" applyAlignment="1">
      <alignment horizontal="center" vertical="center"/>
    </xf>
    <xf numFmtId="2" fontId="0" fillId="4" borderId="15" xfId="0" applyNumberFormat="1" applyFill="1" applyBorder="1" applyAlignment="1">
      <alignment horizontal="center"/>
    </xf>
    <xf numFmtId="164" fontId="0" fillId="5" borderId="14" xfId="0" applyNumberFormat="1" applyFill="1" applyBorder="1" applyAlignment="1">
      <alignment horizontal="center" vertical="center"/>
    </xf>
    <xf numFmtId="2" fontId="0" fillId="5" borderId="15" xfId="0" applyNumberFormat="1" applyFill="1" applyBorder="1" applyAlignment="1">
      <alignment horizontal="center"/>
    </xf>
    <xf numFmtId="164" fontId="0" fillId="0" borderId="7" xfId="0" applyNumberFormat="1" applyBorder="1" applyAlignment="1">
      <alignment horizontal="center" vertical="center"/>
    </xf>
    <xf numFmtId="2" fontId="0" fillId="0" borderId="9" xfId="0" applyNumberFormat="1" applyBorder="1" applyAlignment="1">
      <alignment horizontal="center"/>
    </xf>
    <xf numFmtId="0" fontId="1" fillId="2" borderId="16" xfId="0" applyFont="1" applyFill="1" applyBorder="1" applyAlignment="1">
      <alignment horizontal="center" vertical="center" wrapText="1"/>
    </xf>
    <xf numFmtId="2" fontId="0" fillId="0" borderId="17" xfId="0" applyNumberFormat="1" applyBorder="1" applyAlignment="1">
      <alignment horizontal="center"/>
    </xf>
    <xf numFmtId="2" fontId="0" fillId="3" borderId="17" xfId="0" applyNumberFormat="1" applyFill="1" applyBorder="1" applyAlignment="1">
      <alignment horizontal="center"/>
    </xf>
    <xf numFmtId="2" fontId="0" fillId="4" borderId="17" xfId="0" applyNumberFormat="1" applyFill="1" applyBorder="1" applyAlignment="1">
      <alignment horizontal="center"/>
    </xf>
    <xf numFmtId="2" fontId="0" fillId="5" borderId="17" xfId="0" applyNumberFormat="1" applyFill="1" applyBorder="1" applyAlignment="1">
      <alignment horizontal="center"/>
    </xf>
    <xf numFmtId="2" fontId="0" fillId="0" borderId="18" xfId="0" applyNumberFormat="1" applyBorder="1" applyAlignment="1">
      <alignment horizontal="center"/>
    </xf>
    <xf numFmtId="0" fontId="1" fillId="2" borderId="19" xfId="0" applyFont="1" applyFill="1" applyBorder="1" applyAlignment="1">
      <alignment horizontal="center" vertical="center" wrapText="1"/>
    </xf>
    <xf numFmtId="0" fontId="1" fillId="2" borderId="20" xfId="0" applyFont="1" applyFill="1" applyBorder="1" applyAlignment="1">
      <alignment horizontal="center" vertical="center" wrapText="1"/>
    </xf>
    <xf numFmtId="0" fontId="1" fillId="2" borderId="21" xfId="0" applyFont="1" applyFill="1" applyBorder="1" applyAlignment="1">
      <alignment horizontal="center" vertical="center" wrapText="1"/>
    </xf>
    <xf numFmtId="2" fontId="0" fillId="0" borderId="12" xfId="0" applyNumberFormat="1" applyBorder="1" applyAlignment="1">
      <alignment horizontal="center"/>
    </xf>
    <xf numFmtId="164" fontId="0" fillId="0" borderId="13" xfId="0" applyNumberFormat="1" applyBorder="1" applyAlignment="1">
      <alignment horizontal="center"/>
    </xf>
    <xf numFmtId="2" fontId="0" fillId="0" borderId="14" xfId="0" applyNumberFormat="1" applyBorder="1" applyAlignment="1">
      <alignment horizontal="center"/>
    </xf>
    <xf numFmtId="164" fontId="0" fillId="0" borderId="15" xfId="0" applyNumberFormat="1" applyBorder="1" applyAlignment="1">
      <alignment horizontal="center"/>
    </xf>
    <xf numFmtId="2" fontId="0" fillId="3" borderId="14" xfId="0" applyNumberFormat="1" applyFill="1" applyBorder="1" applyAlignment="1">
      <alignment horizontal="center"/>
    </xf>
    <xf numFmtId="164" fontId="0" fillId="3" borderId="15" xfId="0" applyNumberFormat="1" applyFill="1" applyBorder="1" applyAlignment="1">
      <alignment horizontal="center"/>
    </xf>
    <xf numFmtId="2" fontId="0" fillId="4" borderId="14" xfId="0" applyNumberFormat="1" applyFill="1" applyBorder="1" applyAlignment="1">
      <alignment horizontal="center"/>
    </xf>
    <xf numFmtId="164" fontId="0" fillId="4" borderId="15" xfId="0" applyNumberFormat="1" applyFill="1" applyBorder="1" applyAlignment="1">
      <alignment horizontal="center"/>
    </xf>
    <xf numFmtId="2" fontId="0" fillId="5" borderId="14" xfId="0" applyNumberFormat="1" applyFill="1" applyBorder="1" applyAlignment="1">
      <alignment horizontal="center"/>
    </xf>
    <xf numFmtId="164" fontId="0" fillId="5" borderId="15" xfId="0" applyNumberFormat="1" applyFill="1" applyBorder="1" applyAlignment="1">
      <alignment horizontal="center"/>
    </xf>
    <xf numFmtId="2" fontId="0" fillId="0" borderId="7" xfId="0" applyNumberFormat="1" applyBorder="1" applyAlignment="1">
      <alignment horizontal="center"/>
    </xf>
    <xf numFmtId="9" fontId="0" fillId="0" borderId="8" xfId="1" applyNumberFormat="1" applyFont="1" applyBorder="1" applyAlignment="1">
      <alignment horizontal="center"/>
    </xf>
    <xf numFmtId="164" fontId="0" fillId="0" borderId="9" xfId="0" applyNumberFormat="1" applyBorder="1" applyAlignment="1">
      <alignment horizontal="center"/>
    </xf>
    <xf numFmtId="0" fontId="1" fillId="2" borderId="22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1" fontId="0" fillId="0" borderId="15" xfId="0" applyNumberFormat="1" applyBorder="1" applyAlignment="1">
      <alignment horizontal="center"/>
    </xf>
    <xf numFmtId="1" fontId="0" fillId="3" borderId="15" xfId="0" applyNumberFormat="1" applyFill="1" applyBorder="1" applyAlignment="1">
      <alignment horizontal="center"/>
    </xf>
    <xf numFmtId="1" fontId="0" fillId="4" borderId="15" xfId="0" applyNumberFormat="1" applyFill="1" applyBorder="1" applyAlignment="1">
      <alignment horizontal="center"/>
    </xf>
    <xf numFmtId="1" fontId="0" fillId="5" borderId="15" xfId="0" applyNumberFormat="1" applyFill="1" applyBorder="1" applyAlignment="1">
      <alignment horizontal="center"/>
    </xf>
    <xf numFmtId="164" fontId="0" fillId="0" borderId="8" xfId="0" applyNumberFormat="1" applyBorder="1" applyAlignment="1">
      <alignment horizontal="center"/>
    </xf>
    <xf numFmtId="1" fontId="0" fillId="0" borderId="9" xfId="0" applyNumberFormat="1" applyBorder="1" applyAlignment="1">
      <alignment horizontal="center"/>
    </xf>
    <xf numFmtId="164" fontId="0" fillId="0" borderId="0" xfId="0" applyNumberFormat="1"/>
    <xf numFmtId="0" fontId="0" fillId="0" borderId="0" xfId="0" applyAlignment="1">
      <alignment horizontal="center"/>
    </xf>
    <xf numFmtId="0" fontId="1" fillId="2" borderId="14" xfId="0" applyFont="1" applyFill="1" applyBorder="1" applyAlignment="1">
      <alignment horizontal="left" vertical="center"/>
    </xf>
    <xf numFmtId="0" fontId="2" fillId="7" borderId="15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left" vertical="center"/>
    </xf>
    <xf numFmtId="0" fontId="2" fillId="7" borderId="9" xfId="0" applyFont="1" applyFill="1" applyBorder="1" applyAlignment="1">
      <alignment horizontal="center" vertical="center"/>
    </xf>
    <xf numFmtId="1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/>
    </xf>
    <xf numFmtId="0" fontId="1" fillId="2" borderId="26" xfId="0" applyFont="1" applyFill="1" applyBorder="1" applyAlignment="1">
      <alignment horizontal="center" vertical="center" wrapText="1"/>
    </xf>
    <xf numFmtId="0" fontId="1" fillId="2" borderId="27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/>
    </xf>
    <xf numFmtId="0" fontId="0" fillId="0" borderId="14" xfId="0" applyBorder="1"/>
    <xf numFmtId="0" fontId="0" fillId="0" borderId="8" xfId="0" applyBorder="1" applyAlignment="1">
      <alignment horizontal="center" vertical="center"/>
    </xf>
    <xf numFmtId="0" fontId="0" fillId="2" borderId="23" xfId="0" applyFont="1" applyFill="1" applyBorder="1"/>
    <xf numFmtId="0" fontId="0" fillId="2" borderId="24" xfId="0" applyFont="1" applyFill="1" applyBorder="1"/>
    <xf numFmtId="0" fontId="0" fillId="2" borderId="25" xfId="0" applyFont="1" applyFill="1" applyBorder="1"/>
    <xf numFmtId="1" fontId="0" fillId="3" borderId="14" xfId="0" applyNumberFormat="1" applyFill="1" applyBorder="1" applyAlignment="1">
      <alignment horizontal="center"/>
    </xf>
    <xf numFmtId="1" fontId="0" fillId="4" borderId="14" xfId="0" applyNumberFormat="1" applyFill="1" applyBorder="1" applyAlignment="1">
      <alignment horizontal="center"/>
    </xf>
    <xf numFmtId="1" fontId="0" fillId="5" borderId="14" xfId="0" applyNumberFormat="1" applyFill="1" applyBorder="1" applyAlignment="1">
      <alignment horizontal="center"/>
    </xf>
    <xf numFmtId="1" fontId="0" fillId="9" borderId="1" xfId="0" applyNumberFormat="1" applyFill="1" applyBorder="1" applyAlignment="1">
      <alignment horizontal="center"/>
    </xf>
    <xf numFmtId="1" fontId="0" fillId="9" borderId="8" xfId="0" applyNumberFormat="1" applyFill="1" applyBorder="1" applyAlignment="1">
      <alignment horizontal="center"/>
    </xf>
    <xf numFmtId="1" fontId="0" fillId="9" borderId="14" xfId="0" applyNumberFormat="1" applyFill="1" applyBorder="1" applyAlignment="1">
      <alignment horizontal="center"/>
    </xf>
    <xf numFmtId="1" fontId="0" fillId="9" borderId="7" xfId="0" applyNumberFormat="1" applyFill="1" applyBorder="1" applyAlignment="1">
      <alignment horizontal="center"/>
    </xf>
    <xf numFmtId="2" fontId="0" fillId="0" borderId="0" xfId="0" applyNumberFormat="1"/>
    <xf numFmtId="0" fontId="0" fillId="0" borderId="0" xfId="0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8" borderId="23" xfId="0" applyFont="1" applyFill="1" applyBorder="1" applyAlignment="1">
      <alignment horizontal="center"/>
    </xf>
    <xf numFmtId="0" fontId="2" fillId="8" borderId="25" xfId="0" applyFont="1" applyFill="1" applyBorder="1" applyAlignment="1">
      <alignment horizontal="center"/>
    </xf>
    <xf numFmtId="0" fontId="1" fillId="2" borderId="23" xfId="0" applyFont="1" applyFill="1" applyBorder="1" applyAlignment="1">
      <alignment horizontal="center"/>
    </xf>
    <xf numFmtId="0" fontId="1" fillId="2" borderId="24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0" borderId="1" xfId="0" applyFont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</cellXfs>
  <cellStyles count="3">
    <cellStyle name="Hyperlink" xfId="2" builtinId="8"/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933450</xdr:colOff>
      <xdr:row>47</xdr:row>
      <xdr:rowOff>0</xdr:rowOff>
    </xdr:from>
    <xdr:to>
      <xdr:col>5</xdr:col>
      <xdr:colOff>256829</xdr:colOff>
      <xdr:row>58</xdr:row>
      <xdr:rowOff>28310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295650" y="9810750"/>
          <a:ext cx="2771429" cy="212381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youtube.com/watch?v=zvavP2RJSLc&amp;t=1560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Z84"/>
  <sheetViews>
    <sheetView showGridLines="0" tabSelected="1" topLeftCell="A10" workbookViewId="0">
      <selection activeCell="K29" sqref="K29"/>
    </sheetView>
  </sheetViews>
  <sheetFormatPr defaultColWidth="8.85546875" defaultRowHeight="15" x14ac:dyDescent="0.25"/>
  <cols>
    <col min="2" max="2" width="16.42578125" customWidth="1"/>
    <col min="3" max="4" width="17.140625" customWidth="1"/>
    <col min="5" max="5" width="17.42578125" customWidth="1"/>
    <col min="6" max="6" width="15.85546875" customWidth="1"/>
    <col min="7" max="7" width="14.85546875" customWidth="1"/>
    <col min="8" max="8" width="18.140625" customWidth="1"/>
    <col min="10" max="10" width="14.7109375" customWidth="1"/>
    <col min="11" max="11" width="24" bestFit="1" customWidth="1"/>
    <col min="12" max="12" width="24.7109375" customWidth="1"/>
    <col min="13" max="13" width="20.85546875" customWidth="1"/>
    <col min="14" max="14" width="23.140625" customWidth="1"/>
    <col min="15" max="15" width="20.42578125" customWidth="1"/>
    <col min="18" max="19" width="38.28515625" customWidth="1"/>
  </cols>
  <sheetData>
    <row r="2" spans="2:19" x14ac:dyDescent="0.25">
      <c r="B2" s="106" t="s">
        <v>37</v>
      </c>
      <c r="C2" s="106"/>
      <c r="D2" s="106"/>
      <c r="E2" s="106"/>
      <c r="F2" s="1"/>
      <c r="G2" s="1"/>
      <c r="L2" s="1"/>
    </row>
    <row r="3" spans="2:19" x14ac:dyDescent="0.25">
      <c r="B3" s="107">
        <v>94</v>
      </c>
      <c r="C3" s="107"/>
      <c r="D3" s="107"/>
      <c r="E3" s="107"/>
      <c r="R3" t="s">
        <v>35</v>
      </c>
      <c r="S3" t="s">
        <v>36</v>
      </c>
    </row>
    <row r="4" spans="2:19" x14ac:dyDescent="0.25">
      <c r="B4" s="106" t="s">
        <v>29</v>
      </c>
      <c r="C4" s="106"/>
      <c r="D4" s="106"/>
      <c r="E4" s="106"/>
    </row>
    <row r="5" spans="2:19" x14ac:dyDescent="0.25">
      <c r="B5" s="107">
        <v>0.20799999999999999</v>
      </c>
      <c r="C5" s="107"/>
      <c r="D5" s="107"/>
      <c r="E5" s="107"/>
    </row>
    <row r="6" spans="2:19" ht="17.25" x14ac:dyDescent="0.25">
      <c r="B6" s="106" t="s">
        <v>30</v>
      </c>
      <c r="C6" s="106"/>
      <c r="D6" s="106"/>
      <c r="E6" s="106"/>
    </row>
    <row r="7" spans="2:19" x14ac:dyDescent="0.25">
      <c r="B7" s="107">
        <v>2.4</v>
      </c>
      <c r="C7" s="107"/>
      <c r="D7" s="107"/>
      <c r="E7" s="107"/>
    </row>
    <row r="8" spans="2:19" ht="17.25" x14ac:dyDescent="0.25">
      <c r="B8" s="106" t="s">
        <v>43</v>
      </c>
      <c r="C8" s="106"/>
      <c r="D8" s="106"/>
      <c r="E8" s="106"/>
    </row>
    <row r="9" spans="2:19" ht="15.75" thickBot="1" x14ac:dyDescent="0.3">
      <c r="B9" s="2" t="s">
        <v>1</v>
      </c>
      <c r="C9" s="2" t="s">
        <v>4</v>
      </c>
      <c r="D9" s="2" t="s">
        <v>2</v>
      </c>
      <c r="E9" s="2" t="s">
        <v>3</v>
      </c>
    </row>
    <row r="10" spans="2:19" ht="15.75" thickBot="1" x14ac:dyDescent="0.3">
      <c r="B10" s="4">
        <v>1.292</v>
      </c>
      <c r="C10" s="4">
        <f>(B10+D10)/2</f>
        <v>1.248</v>
      </c>
      <c r="D10" s="4">
        <v>1.204</v>
      </c>
      <c r="E10" s="4">
        <f>D10-(B10-D10)/2</f>
        <v>1.1599999999999999</v>
      </c>
      <c r="K10" s="102" t="s">
        <v>23</v>
      </c>
      <c r="L10" s="103"/>
      <c r="M10" s="77">
        <f>HLOOKUP(L13,B9:E10,2,0)</f>
        <v>1.292</v>
      </c>
      <c r="N10" s="82">
        <f>HLOOKUP(L15,B14:E15,2,0)</f>
        <v>277.74562500000002</v>
      </c>
      <c r="O10" s="83">
        <f>IF(L14="An",VLOOKUP(L13,R25:S28,2,0),VLOOKUP(L13,R20:S23,2,0))</f>
        <v>1.8</v>
      </c>
    </row>
    <row r="11" spans="2:19" x14ac:dyDescent="0.25">
      <c r="B11" s="106" t="s">
        <v>42</v>
      </c>
      <c r="C11" s="106"/>
      <c r="D11" s="106"/>
      <c r="E11" s="106"/>
      <c r="K11" s="78" t="s">
        <v>24</v>
      </c>
      <c r="L11" s="79" t="s">
        <v>36</v>
      </c>
    </row>
    <row r="12" spans="2:19" x14ac:dyDescent="0.25">
      <c r="B12" s="107">
        <f>IF(L11="MS LR",2095,2190)+L12</f>
        <v>2265</v>
      </c>
      <c r="C12" s="107"/>
      <c r="D12" s="107"/>
      <c r="E12" s="107"/>
      <c r="K12" s="78" t="s">
        <v>25</v>
      </c>
      <c r="L12" s="79">
        <v>75</v>
      </c>
    </row>
    <row r="13" spans="2:19" x14ac:dyDescent="0.25">
      <c r="B13" s="106" t="s">
        <v>9</v>
      </c>
      <c r="C13" s="106"/>
      <c r="D13" s="106"/>
      <c r="E13" s="106"/>
      <c r="K13" s="78" t="s">
        <v>19</v>
      </c>
      <c r="L13" s="79" t="s">
        <v>1</v>
      </c>
    </row>
    <row r="14" spans="2:19" x14ac:dyDescent="0.25">
      <c r="B14" s="4" t="s">
        <v>33</v>
      </c>
      <c r="C14" s="4" t="s">
        <v>34</v>
      </c>
      <c r="D14" s="4" t="s">
        <v>8</v>
      </c>
      <c r="E14" s="4" t="s">
        <v>32</v>
      </c>
      <c r="K14" s="78" t="s">
        <v>21</v>
      </c>
      <c r="L14" s="79" t="s">
        <v>31</v>
      </c>
    </row>
    <row r="15" spans="2:19" ht="15.75" thickBot="1" x14ac:dyDescent="0.3">
      <c r="B15" s="5">
        <f>0.013*$B$12*9.81</f>
        <v>288.85545000000002</v>
      </c>
      <c r="C15" s="5">
        <f>0.013*$B$12*9.81</f>
        <v>288.85545000000002</v>
      </c>
      <c r="D15" s="5">
        <f>0.012*$B$12*9.81</f>
        <v>266.63580000000002</v>
      </c>
      <c r="E15" s="5">
        <f>0.0125*$B$12*9.81</f>
        <v>277.74562500000002</v>
      </c>
      <c r="K15" s="80" t="s">
        <v>22</v>
      </c>
      <c r="L15" s="81" t="s">
        <v>32</v>
      </c>
    </row>
    <row r="16" spans="2:19" ht="15.75" thickBot="1" x14ac:dyDescent="0.3"/>
    <row r="17" spans="2:19" ht="15.75" thickBot="1" x14ac:dyDescent="0.3">
      <c r="B17" s="108" t="str">
        <f>"Luftwiderstandskraft bei konstanter Fahrgeschwindigkeit (bei " &amp;L13&amp;" AT)"</f>
        <v>Luftwiderstandskraft bei konstanter Fahrgeschwindigkeit (bei 0° AT)</v>
      </c>
      <c r="C17" s="109"/>
      <c r="D17" s="109"/>
      <c r="E17" s="110"/>
      <c r="F17" s="6" t="s">
        <v>10</v>
      </c>
      <c r="G17" s="6" t="s">
        <v>26</v>
      </c>
      <c r="H17" s="89"/>
      <c r="I17" s="90"/>
      <c r="J17" s="90"/>
      <c r="K17" s="90"/>
      <c r="L17" s="90"/>
      <c r="M17" s="90"/>
      <c r="N17" s="90"/>
      <c r="O17" s="91"/>
      <c r="R17" s="104" t="s">
        <v>41</v>
      </c>
      <c r="S17" s="105"/>
    </row>
    <row r="18" spans="2:19" ht="42.75" customHeight="1" thickBot="1" x14ac:dyDescent="0.3">
      <c r="B18" s="20" t="s">
        <v>5</v>
      </c>
      <c r="C18" s="21" t="s">
        <v>6</v>
      </c>
      <c r="D18" s="20" t="s">
        <v>7</v>
      </c>
      <c r="E18" s="21" t="s">
        <v>20</v>
      </c>
      <c r="F18" s="46" t="s">
        <v>20</v>
      </c>
      <c r="G18" s="46" t="s">
        <v>20</v>
      </c>
      <c r="H18" s="46" t="s">
        <v>15</v>
      </c>
      <c r="I18" s="52" t="s">
        <v>11</v>
      </c>
      <c r="J18" s="53" t="s">
        <v>12</v>
      </c>
      <c r="K18" s="54" t="s">
        <v>13</v>
      </c>
      <c r="L18" s="52" t="s">
        <v>14</v>
      </c>
      <c r="M18" s="68" t="s">
        <v>16</v>
      </c>
      <c r="N18" s="68" t="s">
        <v>18</v>
      </c>
      <c r="O18" s="69" t="s">
        <v>17</v>
      </c>
      <c r="R18" s="84" t="s">
        <v>38</v>
      </c>
      <c r="S18" s="85" t="s">
        <v>40</v>
      </c>
    </row>
    <row r="19" spans="2:19" x14ac:dyDescent="0.25">
      <c r="B19" s="22">
        <v>10</v>
      </c>
      <c r="C19" s="23">
        <f>B19/3.6</f>
        <v>2.7777777777777777</v>
      </c>
      <c r="D19" s="34">
        <f>$B$5*$B$7*$M$10*POWER(C19,2)/2</f>
        <v>2.488296296296296</v>
      </c>
      <c r="E19" s="35">
        <f>D19*C19/1000</f>
        <v>6.9119341563785991E-3</v>
      </c>
      <c r="F19" s="47">
        <f>$N$10*C19/1000</f>
        <v>0.77151562500000004</v>
      </c>
      <c r="G19" s="47">
        <f>$O$10</f>
        <v>1.8</v>
      </c>
      <c r="H19" s="47">
        <f>(F19+E19)/IF($L$11="MS LR",0.95,0.9)+G19</f>
        <v>2.6649195101737542</v>
      </c>
      <c r="I19" s="55">
        <f>H19/$B$3</f>
        <v>2.8350207555039936E-2</v>
      </c>
      <c r="J19" s="10">
        <f>VLOOKUP(I19,$A$51:$B$84,2,1)</f>
        <v>1</v>
      </c>
      <c r="K19" s="56">
        <f>J19*$B$3</f>
        <v>94</v>
      </c>
      <c r="L19" s="97">
        <f>H19/B19*1000</f>
        <v>266.49195101737541</v>
      </c>
      <c r="M19" s="95">
        <f>K19/L19*1000</f>
        <v>352.7311036642572</v>
      </c>
      <c r="N19" s="9">
        <f>M19/B19</f>
        <v>35.273110366425719</v>
      </c>
      <c r="O19" s="70">
        <f>80%*M19</f>
        <v>282.18488293140575</v>
      </c>
      <c r="R19" s="87"/>
      <c r="S19" s="3"/>
    </row>
    <row r="20" spans="2:19" x14ac:dyDescent="0.25">
      <c r="B20" s="24">
        <v>20</v>
      </c>
      <c r="C20" s="25">
        <f t="shared" ref="C20:C43" si="0">B20/3.6</f>
        <v>5.5555555555555554</v>
      </c>
      <c r="D20" s="36">
        <f t="shared" ref="D20:D43" si="1">$B$5*$B$7*$M$10*POWER(C20,2)/2</f>
        <v>9.953185185185184</v>
      </c>
      <c r="E20" s="37">
        <f t="shared" ref="E20:E43" si="2">D20*C20/1000</f>
        <v>5.5295473251028793E-2</v>
      </c>
      <c r="F20" s="47">
        <f t="shared" ref="F20:F43" si="3">$N$10*C20/1000</f>
        <v>1.5430312500000001</v>
      </c>
      <c r="G20" s="47">
        <f t="shared" ref="G20:G43" si="4">$O$10</f>
        <v>1.8</v>
      </c>
      <c r="H20" s="47">
        <f t="shared" ref="H20:H43" si="5">(F20+E20)/IF($L$11="MS LR",0.95,0.9)+G20</f>
        <v>3.5759185813900323</v>
      </c>
      <c r="I20" s="57">
        <f t="shared" ref="I20:I43" si="6">H20/$B$3</f>
        <v>3.804168703606417E-2</v>
      </c>
      <c r="J20" s="8">
        <f t="shared" ref="J20:J43" si="7">VLOOKUP(I20,$A$51:$B$84,2,1)</f>
        <v>1</v>
      </c>
      <c r="K20" s="58">
        <f t="shared" ref="K20:K43" si="8">J20*$B$3</f>
        <v>94</v>
      </c>
      <c r="L20" s="97">
        <f t="shared" ref="L20:L43" si="9">H20/B20*1000</f>
        <v>178.79592906950163</v>
      </c>
      <c r="M20" s="95">
        <f t="shared" ref="M20:M43" si="10">K20/L20*1000</f>
        <v>525.73903941325352</v>
      </c>
      <c r="N20" s="9">
        <f t="shared" ref="N20:N43" si="11">M20/B20</f>
        <v>26.286951970662678</v>
      </c>
      <c r="O20" s="70">
        <f t="shared" ref="O20:O43" si="12">80%*M20</f>
        <v>420.59123153060284</v>
      </c>
      <c r="R20" s="87" t="s">
        <v>1</v>
      </c>
      <c r="S20" s="3">
        <v>0.8</v>
      </c>
    </row>
    <row r="21" spans="2:19" x14ac:dyDescent="0.25">
      <c r="B21" s="24">
        <v>30</v>
      </c>
      <c r="C21" s="25">
        <f t="shared" si="0"/>
        <v>8.3333333333333339</v>
      </c>
      <c r="D21" s="36">
        <f t="shared" si="1"/>
        <v>22.394666666666669</v>
      </c>
      <c r="E21" s="37">
        <f t="shared" si="2"/>
        <v>0.18662222222222227</v>
      </c>
      <c r="F21" s="47">
        <f t="shared" si="3"/>
        <v>2.3145468750000004</v>
      </c>
      <c r="G21" s="47">
        <f t="shared" si="4"/>
        <v>1.8</v>
      </c>
      <c r="H21" s="47">
        <f t="shared" si="5"/>
        <v>4.5790767746913588</v>
      </c>
      <c r="I21" s="57">
        <f t="shared" si="6"/>
        <v>4.871358270948254E-2</v>
      </c>
      <c r="J21" s="8">
        <f t="shared" si="7"/>
        <v>1</v>
      </c>
      <c r="K21" s="58">
        <f t="shared" si="8"/>
        <v>94</v>
      </c>
      <c r="L21" s="97">
        <f t="shared" si="9"/>
        <v>152.63589248971195</v>
      </c>
      <c r="M21" s="95">
        <f t="shared" si="10"/>
        <v>615.84466449354852</v>
      </c>
      <c r="N21" s="9">
        <f t="shared" si="11"/>
        <v>20.528155483118283</v>
      </c>
      <c r="O21" s="70">
        <f t="shared" si="12"/>
        <v>492.67573159483885</v>
      </c>
      <c r="R21" s="87" t="s">
        <v>4</v>
      </c>
      <c r="S21" s="3">
        <v>0.4</v>
      </c>
    </row>
    <row r="22" spans="2:19" x14ac:dyDescent="0.25">
      <c r="B22" s="24">
        <v>40</v>
      </c>
      <c r="C22" s="25">
        <f t="shared" si="0"/>
        <v>11.111111111111111</v>
      </c>
      <c r="D22" s="36">
        <f t="shared" si="1"/>
        <v>39.812740740740736</v>
      </c>
      <c r="E22" s="37">
        <f t="shared" si="2"/>
        <v>0.44236378600823034</v>
      </c>
      <c r="F22" s="47">
        <f t="shared" si="3"/>
        <v>3.0860625000000002</v>
      </c>
      <c r="G22" s="47">
        <f t="shared" si="4"/>
        <v>1.8</v>
      </c>
      <c r="H22" s="47">
        <f t="shared" si="5"/>
        <v>5.7204736511202556</v>
      </c>
      <c r="I22" s="57">
        <f t="shared" si="6"/>
        <v>6.0856102671492079E-2</v>
      </c>
      <c r="J22" s="8">
        <f t="shared" si="7"/>
        <v>1</v>
      </c>
      <c r="K22" s="58">
        <f t="shared" si="8"/>
        <v>94</v>
      </c>
      <c r="L22" s="97">
        <f t="shared" si="9"/>
        <v>143.01184127800639</v>
      </c>
      <c r="M22" s="95">
        <f t="shared" si="10"/>
        <v>657.28822984153931</v>
      </c>
      <c r="N22" s="9">
        <f t="shared" si="11"/>
        <v>16.432205746038484</v>
      </c>
      <c r="O22" s="70">
        <f t="shared" si="12"/>
        <v>525.83058387323149</v>
      </c>
      <c r="R22" s="87" t="s">
        <v>2</v>
      </c>
      <c r="S22" s="3">
        <v>0.4</v>
      </c>
    </row>
    <row r="23" spans="2:19" ht="15.75" thickBot="1" x14ac:dyDescent="0.3">
      <c r="B23" s="24">
        <v>50</v>
      </c>
      <c r="C23" s="25">
        <f t="shared" si="0"/>
        <v>13.888888888888889</v>
      </c>
      <c r="D23" s="36">
        <f t="shared" si="1"/>
        <v>62.207407407407402</v>
      </c>
      <c r="E23" s="37">
        <f t="shared" si="2"/>
        <v>0.86399176954732504</v>
      </c>
      <c r="F23" s="47">
        <f t="shared" si="3"/>
        <v>3.8575781250000003</v>
      </c>
      <c r="G23" s="47">
        <f t="shared" si="4"/>
        <v>1.8</v>
      </c>
      <c r="H23" s="47">
        <f t="shared" si="5"/>
        <v>7.0461887717192502</v>
      </c>
      <c r="I23" s="57">
        <f t="shared" si="6"/>
        <v>7.4959455018289892E-2</v>
      </c>
      <c r="J23" s="8">
        <f t="shared" si="7"/>
        <v>1</v>
      </c>
      <c r="K23" s="58">
        <f t="shared" si="8"/>
        <v>94</v>
      </c>
      <c r="L23" s="97">
        <f t="shared" si="9"/>
        <v>140.92377543438499</v>
      </c>
      <c r="M23" s="95">
        <f t="shared" si="10"/>
        <v>667.02726144153723</v>
      </c>
      <c r="N23" s="9">
        <f t="shared" si="11"/>
        <v>13.340545228830745</v>
      </c>
      <c r="O23" s="70">
        <f t="shared" si="12"/>
        <v>533.62180915322983</v>
      </c>
      <c r="R23" s="87" t="s">
        <v>3</v>
      </c>
      <c r="S23" s="3">
        <v>0.4</v>
      </c>
    </row>
    <row r="24" spans="2:19" x14ac:dyDescent="0.25">
      <c r="B24" s="24">
        <v>60</v>
      </c>
      <c r="C24" s="25">
        <f t="shared" si="0"/>
        <v>16.666666666666668</v>
      </c>
      <c r="D24" s="36">
        <f t="shared" si="1"/>
        <v>89.578666666666678</v>
      </c>
      <c r="E24" s="37">
        <f t="shared" si="2"/>
        <v>1.4929777777777782</v>
      </c>
      <c r="F24" s="47">
        <f t="shared" si="3"/>
        <v>4.6290937500000009</v>
      </c>
      <c r="G24" s="47">
        <f t="shared" si="4"/>
        <v>1.8</v>
      </c>
      <c r="H24" s="47">
        <f t="shared" si="5"/>
        <v>8.6023016975308657</v>
      </c>
      <c r="I24" s="57">
        <f t="shared" si="6"/>
        <v>9.151384784607304E-2</v>
      </c>
      <c r="J24" s="8">
        <f t="shared" si="7"/>
        <v>1</v>
      </c>
      <c r="K24" s="58">
        <f t="shared" si="8"/>
        <v>94</v>
      </c>
      <c r="L24" s="97">
        <f t="shared" si="9"/>
        <v>143.37169495884777</v>
      </c>
      <c r="M24" s="95">
        <f t="shared" si="10"/>
        <v>655.63847889906708</v>
      </c>
      <c r="N24" s="9">
        <f t="shared" si="11"/>
        <v>10.927307981651118</v>
      </c>
      <c r="O24" s="70">
        <f t="shared" si="12"/>
        <v>524.51078311925369</v>
      </c>
      <c r="R24" s="84" t="s">
        <v>39</v>
      </c>
      <c r="S24" s="86"/>
    </row>
    <row r="25" spans="2:19" x14ac:dyDescent="0.25">
      <c r="B25" s="24">
        <v>70</v>
      </c>
      <c r="C25" s="25">
        <f t="shared" si="0"/>
        <v>19.444444444444443</v>
      </c>
      <c r="D25" s="36">
        <f t="shared" si="1"/>
        <v>121.92651851851849</v>
      </c>
      <c r="E25" s="37">
        <f t="shared" si="2"/>
        <v>2.3707934156378592</v>
      </c>
      <c r="F25" s="47">
        <f t="shared" si="3"/>
        <v>5.4006093750000002</v>
      </c>
      <c r="G25" s="47">
        <f t="shared" si="4"/>
        <v>1.8</v>
      </c>
      <c r="H25" s="47">
        <f t="shared" si="5"/>
        <v>10.434891989597622</v>
      </c>
      <c r="I25" s="57">
        <f t="shared" si="6"/>
        <v>0.11100948925103853</v>
      </c>
      <c r="J25" s="8">
        <f t="shared" si="7"/>
        <v>1</v>
      </c>
      <c r="K25" s="58">
        <f t="shared" si="8"/>
        <v>94</v>
      </c>
      <c r="L25" s="97">
        <f t="shared" si="9"/>
        <v>149.06988556568032</v>
      </c>
      <c r="M25" s="95">
        <f t="shared" si="10"/>
        <v>630.57672341596799</v>
      </c>
      <c r="N25" s="9">
        <f t="shared" si="11"/>
        <v>9.0082389059424006</v>
      </c>
      <c r="O25" s="70">
        <f t="shared" si="12"/>
        <v>504.46137873277439</v>
      </c>
      <c r="R25" s="87" t="s">
        <v>1</v>
      </c>
      <c r="S25" s="3">
        <v>1.8</v>
      </c>
    </row>
    <row r="26" spans="2:19" x14ac:dyDescent="0.25">
      <c r="B26" s="24">
        <v>80</v>
      </c>
      <c r="C26" s="25">
        <f t="shared" si="0"/>
        <v>22.222222222222221</v>
      </c>
      <c r="D26" s="36">
        <f t="shared" si="1"/>
        <v>159.25096296296294</v>
      </c>
      <c r="E26" s="37">
        <f t="shared" si="2"/>
        <v>3.5389102880658427</v>
      </c>
      <c r="F26" s="47">
        <f t="shared" si="3"/>
        <v>6.1721250000000003</v>
      </c>
      <c r="G26" s="47">
        <f t="shared" si="4"/>
        <v>1.8</v>
      </c>
      <c r="H26" s="47">
        <f t="shared" si="5"/>
        <v>12.590039208962049</v>
      </c>
      <c r="I26" s="57">
        <f t="shared" si="6"/>
        <v>0.13393658732938349</v>
      </c>
      <c r="J26" s="8">
        <f t="shared" si="7"/>
        <v>1</v>
      </c>
      <c r="K26" s="58">
        <f t="shared" si="8"/>
        <v>94</v>
      </c>
      <c r="L26" s="97">
        <f t="shared" si="9"/>
        <v>157.37549011202563</v>
      </c>
      <c r="M26" s="95">
        <f t="shared" si="10"/>
        <v>597.29758384286754</v>
      </c>
      <c r="N26" s="9">
        <f t="shared" si="11"/>
        <v>7.4662197980358442</v>
      </c>
      <c r="O26" s="70">
        <f t="shared" si="12"/>
        <v>477.83806707429403</v>
      </c>
      <c r="R26" s="87" t="s">
        <v>4</v>
      </c>
      <c r="S26" s="3">
        <v>1.1000000000000001</v>
      </c>
    </row>
    <row r="27" spans="2:19" x14ac:dyDescent="0.25">
      <c r="B27" s="26">
        <v>90</v>
      </c>
      <c r="C27" s="27">
        <f t="shared" si="0"/>
        <v>25</v>
      </c>
      <c r="D27" s="38">
        <f t="shared" si="1"/>
        <v>201.55199999999999</v>
      </c>
      <c r="E27" s="39">
        <f t="shared" si="2"/>
        <v>5.0388000000000002</v>
      </c>
      <c r="F27" s="48">
        <f t="shared" si="3"/>
        <v>6.9436406249999996</v>
      </c>
      <c r="G27" s="48">
        <f t="shared" si="4"/>
        <v>1.8</v>
      </c>
      <c r="H27" s="48">
        <f t="shared" si="5"/>
        <v>15.113822916666665</v>
      </c>
      <c r="I27" s="59">
        <f t="shared" si="6"/>
        <v>0.16078535017730494</v>
      </c>
      <c r="J27" s="11">
        <f t="shared" si="7"/>
        <v>0.99</v>
      </c>
      <c r="K27" s="60">
        <f t="shared" si="8"/>
        <v>93.06</v>
      </c>
      <c r="L27" s="92">
        <f t="shared" si="9"/>
        <v>167.93136574074072</v>
      </c>
      <c r="M27" s="13">
        <f t="shared" si="10"/>
        <v>554.15496437794604</v>
      </c>
      <c r="N27" s="12">
        <f t="shared" si="11"/>
        <v>6.1572773819771784</v>
      </c>
      <c r="O27" s="71">
        <f t="shared" si="12"/>
        <v>443.32397150235687</v>
      </c>
      <c r="R27" s="87" t="s">
        <v>2</v>
      </c>
      <c r="S27" s="3">
        <v>0.8</v>
      </c>
    </row>
    <row r="28" spans="2:19" ht="15.75" thickBot="1" x14ac:dyDescent="0.3">
      <c r="B28" s="24">
        <v>100</v>
      </c>
      <c r="C28" s="25">
        <f t="shared" si="0"/>
        <v>27.777777777777779</v>
      </c>
      <c r="D28" s="36">
        <f t="shared" si="1"/>
        <v>248.82962962962961</v>
      </c>
      <c r="E28" s="37">
        <f t="shared" si="2"/>
        <v>6.9119341563786003</v>
      </c>
      <c r="F28" s="47">
        <f t="shared" si="3"/>
        <v>7.7151562500000006</v>
      </c>
      <c r="G28" s="47">
        <f t="shared" si="4"/>
        <v>1.8</v>
      </c>
      <c r="H28" s="47">
        <f t="shared" si="5"/>
        <v>18.052322673754002</v>
      </c>
      <c r="I28" s="57">
        <f t="shared" si="6"/>
        <v>0.19204598589100003</v>
      </c>
      <c r="J28" s="8">
        <f t="shared" si="7"/>
        <v>0.99</v>
      </c>
      <c r="K28" s="58">
        <f t="shared" si="8"/>
        <v>93.06</v>
      </c>
      <c r="L28" s="97">
        <f t="shared" si="9"/>
        <v>180.52322673754</v>
      </c>
      <c r="M28" s="95">
        <f t="shared" si="10"/>
        <v>515.50153230585966</v>
      </c>
      <c r="N28" s="9">
        <f t="shared" si="11"/>
        <v>5.1550153230585964</v>
      </c>
      <c r="O28" s="70">
        <f t="shared" si="12"/>
        <v>412.40122584468776</v>
      </c>
      <c r="R28" s="87" t="s">
        <v>3</v>
      </c>
      <c r="S28" s="88">
        <v>0.9</v>
      </c>
    </row>
    <row r="29" spans="2:19" x14ac:dyDescent="0.25">
      <c r="B29" s="28">
        <v>110</v>
      </c>
      <c r="C29" s="29">
        <f t="shared" si="0"/>
        <v>30.555555555555554</v>
      </c>
      <c r="D29" s="40">
        <f t="shared" si="1"/>
        <v>301.08385185185176</v>
      </c>
      <c r="E29" s="41">
        <f t="shared" si="2"/>
        <v>9.1997843621399156</v>
      </c>
      <c r="F29" s="49">
        <f t="shared" si="3"/>
        <v>8.4866718750000008</v>
      </c>
      <c r="G29" s="49">
        <f t="shared" si="4"/>
        <v>1.8</v>
      </c>
      <c r="H29" s="49">
        <f t="shared" si="5"/>
        <v>21.45161804126657</v>
      </c>
      <c r="I29" s="61">
        <f t="shared" si="6"/>
        <v>0.22820870256666564</v>
      </c>
      <c r="J29" s="14">
        <f t="shared" si="7"/>
        <v>0.98</v>
      </c>
      <c r="K29" s="62">
        <f t="shared" si="8"/>
        <v>92.12</v>
      </c>
      <c r="L29" s="93">
        <f t="shared" si="9"/>
        <v>195.01470946605971</v>
      </c>
      <c r="M29" s="16">
        <f t="shared" si="10"/>
        <v>472.37462370002675</v>
      </c>
      <c r="N29" s="15">
        <f t="shared" si="11"/>
        <v>4.2943147609093337</v>
      </c>
      <c r="O29" s="72">
        <f t="shared" si="12"/>
        <v>377.8996989600214</v>
      </c>
    </row>
    <row r="30" spans="2:19" x14ac:dyDescent="0.25">
      <c r="B30" s="24">
        <v>120</v>
      </c>
      <c r="C30" s="25">
        <f t="shared" si="0"/>
        <v>33.333333333333336</v>
      </c>
      <c r="D30" s="36">
        <f t="shared" si="1"/>
        <v>358.31466666666671</v>
      </c>
      <c r="E30" s="37">
        <f t="shared" si="2"/>
        <v>11.943822222222225</v>
      </c>
      <c r="F30" s="47">
        <f t="shared" si="3"/>
        <v>9.2581875000000018</v>
      </c>
      <c r="G30" s="47">
        <f t="shared" si="4"/>
        <v>1.8</v>
      </c>
      <c r="H30" s="47">
        <f t="shared" si="5"/>
        <v>25.357788580246922</v>
      </c>
      <c r="I30" s="57">
        <f t="shared" si="6"/>
        <v>0.26976370830049917</v>
      </c>
      <c r="J30" s="8">
        <f t="shared" si="7"/>
        <v>0.97</v>
      </c>
      <c r="K30" s="58">
        <f t="shared" si="8"/>
        <v>91.179999999999993</v>
      </c>
      <c r="L30" s="97">
        <f t="shared" si="9"/>
        <v>211.31490483539099</v>
      </c>
      <c r="M30" s="95">
        <f t="shared" si="10"/>
        <v>431.4887303904423</v>
      </c>
      <c r="N30" s="9">
        <f t="shared" si="11"/>
        <v>3.5957394199203523</v>
      </c>
      <c r="O30" s="70">
        <f t="shared" si="12"/>
        <v>345.19098431235386</v>
      </c>
    </row>
    <row r="31" spans="2:19" x14ac:dyDescent="0.25">
      <c r="B31" s="30">
        <v>130</v>
      </c>
      <c r="C31" s="31">
        <f t="shared" si="0"/>
        <v>36.111111111111107</v>
      </c>
      <c r="D31" s="42">
        <f t="shared" si="1"/>
        <v>420.52207407407394</v>
      </c>
      <c r="E31" s="43">
        <f t="shared" si="2"/>
        <v>15.185519341563781</v>
      </c>
      <c r="F31" s="50">
        <f t="shared" si="3"/>
        <v>10.029703124999999</v>
      </c>
      <c r="G31" s="50">
        <f t="shared" si="4"/>
        <v>1.8</v>
      </c>
      <c r="H31" s="50">
        <f t="shared" si="5"/>
        <v>29.816913851737535</v>
      </c>
      <c r="I31" s="63">
        <f t="shared" si="6"/>
        <v>0.31720121118869721</v>
      </c>
      <c r="J31" s="17">
        <f t="shared" si="7"/>
        <v>0.96</v>
      </c>
      <c r="K31" s="64">
        <f t="shared" si="8"/>
        <v>90.24</v>
      </c>
      <c r="L31" s="94">
        <f t="shared" si="9"/>
        <v>229.36087578259642</v>
      </c>
      <c r="M31" s="19">
        <f t="shared" si="10"/>
        <v>393.44112064489804</v>
      </c>
      <c r="N31" s="18">
        <f t="shared" si="11"/>
        <v>3.0264701588069078</v>
      </c>
      <c r="O31" s="73">
        <f t="shared" si="12"/>
        <v>314.75289651591845</v>
      </c>
    </row>
    <row r="32" spans="2:19" x14ac:dyDescent="0.25">
      <c r="B32" s="24">
        <v>140</v>
      </c>
      <c r="C32" s="25">
        <f t="shared" si="0"/>
        <v>38.888888888888886</v>
      </c>
      <c r="D32" s="36">
        <f t="shared" si="1"/>
        <v>487.70607407407397</v>
      </c>
      <c r="E32" s="37">
        <f t="shared" si="2"/>
        <v>18.966347325102873</v>
      </c>
      <c r="F32" s="47">
        <f t="shared" si="3"/>
        <v>10.80121875</v>
      </c>
      <c r="G32" s="47">
        <f t="shared" si="4"/>
        <v>1.8</v>
      </c>
      <c r="H32" s="47">
        <f t="shared" si="5"/>
        <v>34.875073416780964</v>
      </c>
      <c r="I32" s="57">
        <f t="shared" si="6"/>
        <v>0.37101141932745707</v>
      </c>
      <c r="J32" s="8">
        <f t="shared" si="7"/>
        <v>0.95</v>
      </c>
      <c r="K32" s="58">
        <f t="shared" si="8"/>
        <v>89.3</v>
      </c>
      <c r="L32" s="97">
        <f t="shared" si="9"/>
        <v>249.10766726272118</v>
      </c>
      <c r="M32" s="95">
        <f t="shared" si="10"/>
        <v>358.47953208850788</v>
      </c>
      <c r="N32" s="9">
        <f t="shared" si="11"/>
        <v>2.560568086346485</v>
      </c>
      <c r="O32" s="70">
        <f t="shared" si="12"/>
        <v>286.78362567080632</v>
      </c>
    </row>
    <row r="33" spans="2:15" x14ac:dyDescent="0.25">
      <c r="B33" s="24">
        <v>150</v>
      </c>
      <c r="C33" s="25">
        <f t="shared" si="0"/>
        <v>41.666666666666664</v>
      </c>
      <c r="D33" s="36">
        <f t="shared" si="1"/>
        <v>559.86666666666656</v>
      </c>
      <c r="E33" s="37">
        <f t="shared" si="2"/>
        <v>23.327777777777772</v>
      </c>
      <c r="F33" s="47">
        <f t="shared" si="3"/>
        <v>11.572734375</v>
      </c>
      <c r="G33" s="47">
        <f t="shared" si="4"/>
        <v>1.8</v>
      </c>
      <c r="H33" s="47">
        <f t="shared" si="5"/>
        <v>40.57834683641974</v>
      </c>
      <c r="I33" s="57">
        <f t="shared" si="6"/>
        <v>0.43168454081297597</v>
      </c>
      <c r="J33" s="8">
        <f t="shared" si="7"/>
        <v>0.94</v>
      </c>
      <c r="K33" s="58">
        <f t="shared" si="8"/>
        <v>88.36</v>
      </c>
      <c r="L33" s="97">
        <f t="shared" si="9"/>
        <v>270.52231224279825</v>
      </c>
      <c r="M33" s="95">
        <f t="shared" si="10"/>
        <v>326.62740188578397</v>
      </c>
      <c r="N33" s="9">
        <f t="shared" si="11"/>
        <v>2.1775160125718931</v>
      </c>
      <c r="O33" s="70">
        <f t="shared" si="12"/>
        <v>261.30192150862717</v>
      </c>
    </row>
    <row r="34" spans="2:15" x14ac:dyDescent="0.25">
      <c r="B34" s="24">
        <v>160</v>
      </c>
      <c r="C34" s="25">
        <f t="shared" si="0"/>
        <v>44.444444444444443</v>
      </c>
      <c r="D34" s="36">
        <f t="shared" si="1"/>
        <v>637.00385185185178</v>
      </c>
      <c r="E34" s="37">
        <f t="shared" si="2"/>
        <v>28.311282304526742</v>
      </c>
      <c r="F34" s="47">
        <f t="shared" si="3"/>
        <v>12.344250000000001</v>
      </c>
      <c r="G34" s="47">
        <f t="shared" si="4"/>
        <v>1.8</v>
      </c>
      <c r="H34" s="47">
        <f t="shared" si="5"/>
        <v>46.972813671696379</v>
      </c>
      <c r="I34" s="57">
        <f t="shared" si="6"/>
        <v>0.49971078374145084</v>
      </c>
      <c r="J34" s="8">
        <f t="shared" si="7"/>
        <v>0.93</v>
      </c>
      <c r="K34" s="58">
        <f t="shared" si="8"/>
        <v>87.42</v>
      </c>
      <c r="L34" s="97">
        <f t="shared" si="9"/>
        <v>293.58008544810235</v>
      </c>
      <c r="M34" s="95">
        <f t="shared" si="10"/>
        <v>297.77224114696867</v>
      </c>
      <c r="N34" s="9">
        <f t="shared" si="11"/>
        <v>1.8610765071685542</v>
      </c>
      <c r="O34" s="70">
        <f t="shared" si="12"/>
        <v>238.21779291757494</v>
      </c>
    </row>
    <row r="35" spans="2:15" x14ac:dyDescent="0.25">
      <c r="B35" s="24">
        <v>170</v>
      </c>
      <c r="C35" s="25">
        <f t="shared" si="0"/>
        <v>47.222222222222221</v>
      </c>
      <c r="D35" s="36">
        <f t="shared" si="1"/>
        <v>719.1176296296295</v>
      </c>
      <c r="E35" s="37">
        <f t="shared" si="2"/>
        <v>33.958332510288059</v>
      </c>
      <c r="F35" s="47">
        <f t="shared" si="3"/>
        <v>13.115765625</v>
      </c>
      <c r="G35" s="47">
        <f t="shared" si="4"/>
        <v>1.8</v>
      </c>
      <c r="H35" s="47">
        <f t="shared" si="5"/>
        <v>54.104553483653397</v>
      </c>
      <c r="I35" s="57">
        <f t="shared" si="6"/>
        <v>0.57558035620907866</v>
      </c>
      <c r="J35" s="8">
        <f t="shared" si="7"/>
        <v>0.91</v>
      </c>
      <c r="K35" s="58">
        <f t="shared" si="8"/>
        <v>85.54</v>
      </c>
      <c r="L35" s="97">
        <f t="shared" si="9"/>
        <v>318.26207931560822</v>
      </c>
      <c r="M35" s="95">
        <f t="shared" si="10"/>
        <v>268.77220240609716</v>
      </c>
      <c r="N35" s="9">
        <f t="shared" si="11"/>
        <v>1.5810129553299834</v>
      </c>
      <c r="O35" s="70">
        <f t="shared" si="12"/>
        <v>215.01776192487773</v>
      </c>
    </row>
    <row r="36" spans="2:15" x14ac:dyDescent="0.25">
      <c r="B36" s="24">
        <v>180</v>
      </c>
      <c r="C36" s="25">
        <f t="shared" si="0"/>
        <v>50</v>
      </c>
      <c r="D36" s="36">
        <f t="shared" si="1"/>
        <v>806.20799999999997</v>
      </c>
      <c r="E36" s="37">
        <f t="shared" si="2"/>
        <v>40.310400000000001</v>
      </c>
      <c r="F36" s="47">
        <f t="shared" si="3"/>
        <v>13.887281249999999</v>
      </c>
      <c r="G36" s="47">
        <f t="shared" si="4"/>
        <v>1.8</v>
      </c>
      <c r="H36" s="47">
        <f t="shared" si="5"/>
        <v>62.019645833333328</v>
      </c>
      <c r="I36" s="57">
        <f t="shared" si="6"/>
        <v>0.65978346631205664</v>
      </c>
      <c r="J36" s="8">
        <f t="shared" si="7"/>
        <v>0.89</v>
      </c>
      <c r="K36" s="58">
        <f t="shared" si="8"/>
        <v>83.66</v>
      </c>
      <c r="L36" s="97">
        <f t="shared" si="9"/>
        <v>344.55358796296292</v>
      </c>
      <c r="M36" s="95">
        <f t="shared" si="10"/>
        <v>242.80693315256627</v>
      </c>
      <c r="N36" s="9">
        <f t="shared" si="11"/>
        <v>1.348927406403146</v>
      </c>
      <c r="O36" s="70">
        <f t="shared" si="12"/>
        <v>194.24554652205302</v>
      </c>
    </row>
    <row r="37" spans="2:15" x14ac:dyDescent="0.25">
      <c r="B37" s="24">
        <v>190</v>
      </c>
      <c r="C37" s="25">
        <f t="shared" si="0"/>
        <v>52.777777777777779</v>
      </c>
      <c r="D37" s="36">
        <f t="shared" si="1"/>
        <v>898.27496296296283</v>
      </c>
      <c r="E37" s="37">
        <f t="shared" si="2"/>
        <v>47.408956378600813</v>
      </c>
      <c r="F37" s="47">
        <f t="shared" si="3"/>
        <v>14.658796875000002</v>
      </c>
      <c r="G37" s="47">
        <f t="shared" si="4"/>
        <v>1.8</v>
      </c>
      <c r="H37" s="47">
        <f t="shared" si="5"/>
        <v>70.764170281778675</v>
      </c>
      <c r="I37" s="57">
        <f t="shared" si="6"/>
        <v>0.75281032214658161</v>
      </c>
      <c r="J37" s="8">
        <f t="shared" si="7"/>
        <v>0.87</v>
      </c>
      <c r="K37" s="58">
        <f t="shared" si="8"/>
        <v>81.78</v>
      </c>
      <c r="L37" s="97">
        <f t="shared" si="9"/>
        <v>372.44300148304563</v>
      </c>
      <c r="M37" s="95">
        <f t="shared" si="10"/>
        <v>219.57722302300476</v>
      </c>
      <c r="N37" s="9">
        <f t="shared" si="11"/>
        <v>1.1556695948579199</v>
      </c>
      <c r="O37" s="70">
        <f t="shared" si="12"/>
        <v>175.66177841840383</v>
      </c>
    </row>
    <row r="38" spans="2:15" x14ac:dyDescent="0.25">
      <c r="B38" s="24">
        <v>200</v>
      </c>
      <c r="C38" s="25">
        <f t="shared" si="0"/>
        <v>55.555555555555557</v>
      </c>
      <c r="D38" s="36">
        <f t="shared" si="1"/>
        <v>995.31851851851843</v>
      </c>
      <c r="E38" s="37">
        <f t="shared" si="2"/>
        <v>55.295473251028803</v>
      </c>
      <c r="F38" s="47">
        <f t="shared" si="3"/>
        <v>15.430312500000001</v>
      </c>
      <c r="G38" s="47">
        <f t="shared" si="4"/>
        <v>1.8</v>
      </c>
      <c r="H38" s="47">
        <f t="shared" si="5"/>
        <v>80.384206390032006</v>
      </c>
      <c r="I38" s="57">
        <f t="shared" si="6"/>
        <v>0.85515113180885116</v>
      </c>
      <c r="J38" s="8">
        <f t="shared" si="7"/>
        <v>0.85</v>
      </c>
      <c r="K38" s="58">
        <f t="shared" si="8"/>
        <v>79.899999999999991</v>
      </c>
      <c r="L38" s="97">
        <f t="shared" si="9"/>
        <v>401.92103195016006</v>
      </c>
      <c r="M38" s="95">
        <f t="shared" si="10"/>
        <v>198.79526983775244</v>
      </c>
      <c r="N38" s="9">
        <f t="shared" si="11"/>
        <v>0.99397634918876221</v>
      </c>
      <c r="O38" s="70">
        <f t="shared" si="12"/>
        <v>159.03621587020197</v>
      </c>
    </row>
    <row r="39" spans="2:15" x14ac:dyDescent="0.25">
      <c r="B39" s="24">
        <v>210</v>
      </c>
      <c r="C39" s="25">
        <f t="shared" si="0"/>
        <v>58.333333333333329</v>
      </c>
      <c r="D39" s="36">
        <f t="shared" si="1"/>
        <v>1097.3386666666665</v>
      </c>
      <c r="E39" s="37">
        <f t="shared" si="2"/>
        <v>64.011422222222208</v>
      </c>
      <c r="F39" s="47">
        <f t="shared" si="3"/>
        <v>16.201828124999999</v>
      </c>
      <c r="G39" s="47">
        <f t="shared" si="4"/>
        <v>1.8</v>
      </c>
      <c r="H39" s="47">
        <f t="shared" si="5"/>
        <v>90.925833719135795</v>
      </c>
      <c r="I39" s="57">
        <f t="shared" si="6"/>
        <v>0.96729610339506167</v>
      </c>
      <c r="J39" s="8">
        <f t="shared" si="7"/>
        <v>0.83</v>
      </c>
      <c r="K39" s="58">
        <f t="shared" si="8"/>
        <v>78.02</v>
      </c>
      <c r="L39" s="97">
        <f t="shared" si="9"/>
        <v>432.98016056731331</v>
      </c>
      <c r="M39" s="95">
        <f t="shared" si="10"/>
        <v>180.19301368860437</v>
      </c>
      <c r="N39" s="9">
        <f t="shared" si="11"/>
        <v>0.85806196994573503</v>
      </c>
      <c r="O39" s="70">
        <f t="shared" si="12"/>
        <v>144.15441095088349</v>
      </c>
    </row>
    <row r="40" spans="2:15" x14ac:dyDescent="0.25">
      <c r="B40" s="24">
        <v>220</v>
      </c>
      <c r="C40" s="25">
        <f t="shared" si="0"/>
        <v>61.111111111111107</v>
      </c>
      <c r="D40" s="36">
        <f t="shared" si="1"/>
        <v>1204.335407407407</v>
      </c>
      <c r="E40" s="37">
        <f t="shared" si="2"/>
        <v>73.598274897119325</v>
      </c>
      <c r="F40" s="47">
        <f t="shared" si="3"/>
        <v>16.973343750000002</v>
      </c>
      <c r="G40" s="47">
        <f t="shared" si="4"/>
        <v>1.8</v>
      </c>
      <c r="H40" s="47">
        <f t="shared" si="5"/>
        <v>102.43513183013258</v>
      </c>
      <c r="I40" s="57">
        <f t="shared" si="6"/>
        <v>1.0897354450014103</v>
      </c>
      <c r="J40" s="8">
        <f t="shared" si="7"/>
        <v>0.81</v>
      </c>
      <c r="K40" s="58">
        <f t="shared" si="8"/>
        <v>76.14</v>
      </c>
      <c r="L40" s="97">
        <f t="shared" si="9"/>
        <v>465.61423559151172</v>
      </c>
      <c r="M40" s="95">
        <f t="shared" si="10"/>
        <v>163.52592807492772</v>
      </c>
      <c r="N40" s="9">
        <f t="shared" si="11"/>
        <v>0.74329967306785327</v>
      </c>
      <c r="O40" s="70">
        <f t="shared" si="12"/>
        <v>130.82074245994218</v>
      </c>
    </row>
    <row r="41" spans="2:15" x14ac:dyDescent="0.25">
      <c r="B41" s="24">
        <v>230</v>
      </c>
      <c r="C41" s="25">
        <f t="shared" si="0"/>
        <v>63.888888888888886</v>
      </c>
      <c r="D41" s="36">
        <f t="shared" si="1"/>
        <v>1316.3087407407406</v>
      </c>
      <c r="E41" s="37">
        <f t="shared" si="2"/>
        <v>84.097502880658425</v>
      </c>
      <c r="F41" s="47">
        <f t="shared" si="3"/>
        <v>17.744859375000001</v>
      </c>
      <c r="G41" s="47">
        <f t="shared" si="4"/>
        <v>1.8</v>
      </c>
      <c r="H41" s="47">
        <f t="shared" si="5"/>
        <v>114.95818028406491</v>
      </c>
      <c r="I41" s="57">
        <f t="shared" si="6"/>
        <v>1.2229593647240948</v>
      </c>
      <c r="J41" s="8">
        <f t="shared" si="7"/>
        <v>0.78</v>
      </c>
      <c r="K41" s="58">
        <f t="shared" si="8"/>
        <v>73.320000000000007</v>
      </c>
      <c r="L41" s="97">
        <f t="shared" si="9"/>
        <v>499.81817514810825</v>
      </c>
      <c r="M41" s="95">
        <f t="shared" si="10"/>
        <v>146.69334499145316</v>
      </c>
      <c r="N41" s="9">
        <f t="shared" si="11"/>
        <v>0.63779715213675292</v>
      </c>
      <c r="O41" s="70">
        <f t="shared" si="12"/>
        <v>117.35467599316253</v>
      </c>
    </row>
    <row r="42" spans="2:15" x14ac:dyDescent="0.25">
      <c r="B42" s="24">
        <v>240</v>
      </c>
      <c r="C42" s="25">
        <f t="shared" si="0"/>
        <v>66.666666666666671</v>
      </c>
      <c r="D42" s="36">
        <f t="shared" si="1"/>
        <v>1433.2586666666668</v>
      </c>
      <c r="E42" s="37">
        <f t="shared" si="2"/>
        <v>95.550577777777804</v>
      </c>
      <c r="F42" s="47">
        <f t="shared" si="3"/>
        <v>18.516375000000004</v>
      </c>
      <c r="G42" s="47">
        <f t="shared" si="4"/>
        <v>1.8</v>
      </c>
      <c r="H42" s="47">
        <f t="shared" si="5"/>
        <v>128.54105864197533</v>
      </c>
      <c r="I42" s="57">
        <f t="shared" si="6"/>
        <v>1.367458070659312</v>
      </c>
      <c r="J42" s="8">
        <f t="shared" si="7"/>
        <v>0.75</v>
      </c>
      <c r="K42" s="58">
        <f t="shared" si="8"/>
        <v>70.5</v>
      </c>
      <c r="L42" s="97">
        <f t="shared" si="9"/>
        <v>535.58774434156385</v>
      </c>
      <c r="M42" s="95">
        <f t="shared" si="10"/>
        <v>131.63109265442711</v>
      </c>
      <c r="N42" s="9">
        <f t="shared" si="11"/>
        <v>0.54846288606011295</v>
      </c>
      <c r="O42" s="70">
        <f t="shared" si="12"/>
        <v>105.30487412354169</v>
      </c>
    </row>
    <row r="43" spans="2:15" ht="15.75" thickBot="1" x14ac:dyDescent="0.3">
      <c r="B43" s="32">
        <v>250</v>
      </c>
      <c r="C43" s="33">
        <f t="shared" si="0"/>
        <v>69.444444444444443</v>
      </c>
      <c r="D43" s="44">
        <f t="shared" si="1"/>
        <v>1555.185185185185</v>
      </c>
      <c r="E43" s="45">
        <f t="shared" si="2"/>
        <v>107.99897119341563</v>
      </c>
      <c r="F43" s="51">
        <f t="shared" si="3"/>
        <v>19.287890624999999</v>
      </c>
      <c r="G43" s="51">
        <f t="shared" si="4"/>
        <v>1.8</v>
      </c>
      <c r="H43" s="51">
        <f t="shared" si="5"/>
        <v>143.22984646490627</v>
      </c>
      <c r="I43" s="65">
        <f t="shared" si="6"/>
        <v>1.5237217709032582</v>
      </c>
      <c r="J43" s="66">
        <f t="shared" si="7"/>
        <v>0.72</v>
      </c>
      <c r="K43" s="67">
        <f t="shared" si="8"/>
        <v>67.679999999999993</v>
      </c>
      <c r="L43" s="98">
        <f t="shared" si="9"/>
        <v>572.91938585962509</v>
      </c>
      <c r="M43" s="96">
        <f t="shared" si="10"/>
        <v>118.1318029559271</v>
      </c>
      <c r="N43" s="74">
        <f t="shared" si="11"/>
        <v>0.47252721182370838</v>
      </c>
      <c r="O43" s="75">
        <f t="shared" si="12"/>
        <v>94.505442364741683</v>
      </c>
    </row>
    <row r="46" spans="2:15" x14ac:dyDescent="0.25">
      <c r="B46" s="1" t="s">
        <v>0</v>
      </c>
    </row>
    <row r="49" spans="1:26" x14ac:dyDescent="0.25">
      <c r="B49" t="s">
        <v>12</v>
      </c>
    </row>
    <row r="50" spans="1:26" x14ac:dyDescent="0.25">
      <c r="A50" t="s">
        <v>11</v>
      </c>
      <c r="S50" s="100" t="s">
        <v>28</v>
      </c>
    </row>
    <row r="51" spans="1:26" x14ac:dyDescent="0.25">
      <c r="A51">
        <v>0</v>
      </c>
      <c r="B51" s="7">
        <v>1</v>
      </c>
      <c r="S51" s="101">
        <v>289</v>
      </c>
    </row>
    <row r="52" spans="1:26" x14ac:dyDescent="0.25">
      <c r="A52">
        <v>0.1</v>
      </c>
      <c r="B52" s="7">
        <v>1</v>
      </c>
      <c r="T52" s="99" t="e">
        <f>-#REF!+SUM(#REF!)</f>
        <v>#REF!</v>
      </c>
      <c r="V52" t="e">
        <f>T52/20</f>
        <v>#REF!</v>
      </c>
      <c r="Y52">
        <f>1/(SUM(Y55:Y74)/3600)*20</f>
        <v>100</v>
      </c>
      <c r="Z52" t="e">
        <f>1/(SUM(Z55:Z74)/3600)*20</f>
        <v>#REF!</v>
      </c>
    </row>
    <row r="53" spans="1:26" x14ac:dyDescent="0.25">
      <c r="A53">
        <v>0.15</v>
      </c>
      <c r="B53" s="7">
        <v>0.99</v>
      </c>
    </row>
    <row r="54" spans="1:26" x14ac:dyDescent="0.25">
      <c r="A54">
        <v>0.2</v>
      </c>
      <c r="B54" s="7">
        <v>0.98</v>
      </c>
      <c r="S54">
        <f>$S$51</f>
        <v>289</v>
      </c>
      <c r="Y54" t="s">
        <v>27</v>
      </c>
    </row>
    <row r="55" spans="1:26" x14ac:dyDescent="0.25">
      <c r="A55">
        <v>0.25</v>
      </c>
      <c r="B55" s="7">
        <v>0.97</v>
      </c>
      <c r="R55">
        <v>1</v>
      </c>
      <c r="S55">
        <f t="shared" ref="S55:S64" si="13">(1-R55/10)*$S$51</f>
        <v>260.10000000000002</v>
      </c>
      <c r="T55" t="e">
        <f>SQRT(#REF!/#REF!*2/$B$12)</f>
        <v>#REF!</v>
      </c>
      <c r="U55">
        <f>SQRT((S54-S55)*9.81*2)</f>
        <v>23.812139761054645</v>
      </c>
      <c r="V55" t="e">
        <f>U55-T55</f>
        <v>#REF!</v>
      </c>
      <c r="W55" t="e">
        <f>V55*3.6</f>
        <v>#REF!</v>
      </c>
      <c r="Y55">
        <f>60/100*60</f>
        <v>36</v>
      </c>
      <c r="Z55" s="76" t="e">
        <f>60/#REF!*60</f>
        <v>#REF!</v>
      </c>
    </row>
    <row r="56" spans="1:26" x14ac:dyDescent="0.25">
      <c r="A56">
        <v>0.3</v>
      </c>
      <c r="B56" s="7">
        <v>0.96</v>
      </c>
      <c r="R56">
        <v>2</v>
      </c>
      <c r="S56">
        <f t="shared" si="13"/>
        <v>231.20000000000002</v>
      </c>
      <c r="T56" t="e">
        <f>SQRT(#REF!/#REF!*2/$B$12)</f>
        <v>#REF!</v>
      </c>
      <c r="U56">
        <f>SQRT((S55-S56)*9.81*2)</f>
        <v>23.812139761054656</v>
      </c>
      <c r="V56" t="e">
        <f>U56-T56</f>
        <v>#REF!</v>
      </c>
      <c r="W56" t="e">
        <f>V56*3.6</f>
        <v>#REF!</v>
      </c>
      <c r="Y56">
        <f t="shared" ref="Y56:Y74" si="14">60/100*60</f>
        <v>36</v>
      </c>
      <c r="Z56" s="76" t="e">
        <f>60/#REF!*60</f>
        <v>#REF!</v>
      </c>
    </row>
    <row r="57" spans="1:26" x14ac:dyDescent="0.25">
      <c r="A57">
        <v>0.35</v>
      </c>
      <c r="B57" s="7">
        <v>0.95</v>
      </c>
      <c r="R57">
        <v>3</v>
      </c>
      <c r="S57">
        <f t="shared" si="13"/>
        <v>202.29999999999998</v>
      </c>
      <c r="T57" t="e">
        <f>SQRT(#REF!/#REF!*2/$B$12)</f>
        <v>#REF!</v>
      </c>
      <c r="U57">
        <f>SQRT((S56-S57)*9.81*2)</f>
        <v>23.81213976105467</v>
      </c>
      <c r="V57" t="e">
        <f t="shared" ref="V57:V64" si="15">U57-T57</f>
        <v>#REF!</v>
      </c>
      <c r="W57" t="e">
        <f t="shared" ref="W57:W64" si="16">V57*3.6</f>
        <v>#REF!</v>
      </c>
      <c r="Y57">
        <f t="shared" si="14"/>
        <v>36</v>
      </c>
      <c r="Z57" s="76" t="e">
        <f>60/#REF!*60</f>
        <v>#REF!</v>
      </c>
    </row>
    <row r="58" spans="1:26" x14ac:dyDescent="0.25">
      <c r="A58">
        <v>0.4</v>
      </c>
      <c r="B58" s="7">
        <v>0.94</v>
      </c>
      <c r="R58">
        <v>4</v>
      </c>
      <c r="S58">
        <f t="shared" si="13"/>
        <v>173.4</v>
      </c>
      <c r="T58" t="e">
        <f>SQRT(#REF!/#REF!*2/$B$12)</f>
        <v>#REF!</v>
      </c>
      <c r="U58">
        <f>SQRT((S57-S58)*9.81*2)</f>
        <v>23.812139761054645</v>
      </c>
      <c r="V58" t="e">
        <f t="shared" si="15"/>
        <v>#REF!</v>
      </c>
      <c r="W58" t="e">
        <f t="shared" si="16"/>
        <v>#REF!</v>
      </c>
      <c r="Y58">
        <f t="shared" si="14"/>
        <v>36</v>
      </c>
      <c r="Z58" s="76" t="e">
        <f>60/#REF!*60</f>
        <v>#REF!</v>
      </c>
    </row>
    <row r="59" spans="1:26" x14ac:dyDescent="0.25">
      <c r="A59">
        <v>0.45</v>
      </c>
      <c r="B59" s="7">
        <v>0.93</v>
      </c>
      <c r="R59">
        <v>5</v>
      </c>
      <c r="S59">
        <f t="shared" si="13"/>
        <v>144.5</v>
      </c>
      <c r="T59" t="e">
        <f>SQRT(#REF!/#REF!*2/$B$12)</f>
        <v>#REF!</v>
      </c>
      <c r="U59">
        <f>SQRT((S58-S59)*9.81*2)</f>
        <v>23.812139761054656</v>
      </c>
      <c r="V59" t="e">
        <f t="shared" si="15"/>
        <v>#REF!</v>
      </c>
      <c r="W59" t="e">
        <f t="shared" si="16"/>
        <v>#REF!</v>
      </c>
      <c r="Y59">
        <f t="shared" si="14"/>
        <v>36</v>
      </c>
      <c r="Z59" s="76" t="e">
        <f>60/#REF!*60</f>
        <v>#REF!</v>
      </c>
    </row>
    <row r="60" spans="1:26" x14ac:dyDescent="0.25">
      <c r="A60">
        <v>0.5</v>
      </c>
      <c r="B60" s="7">
        <v>0.92</v>
      </c>
      <c r="R60">
        <v>6</v>
      </c>
      <c r="S60">
        <f t="shared" si="13"/>
        <v>115.60000000000001</v>
      </c>
      <c r="T60" t="e">
        <f>SQRT(#REF!/#REF!*2/$B$12)</f>
        <v>#REF!</v>
      </c>
      <c r="U60">
        <f>SQRT((S59-S60)*9.81*2)</f>
        <v>23.812139761054652</v>
      </c>
      <c r="V60" t="e">
        <f t="shared" si="15"/>
        <v>#REF!</v>
      </c>
      <c r="W60" t="e">
        <f t="shared" si="16"/>
        <v>#REF!</v>
      </c>
      <c r="Y60">
        <f t="shared" si="14"/>
        <v>36</v>
      </c>
      <c r="Z60" s="76" t="e">
        <f>60/#REF!*60</f>
        <v>#REF!</v>
      </c>
    </row>
    <row r="61" spans="1:26" x14ac:dyDescent="0.25">
      <c r="A61">
        <v>0.55000000000000004</v>
      </c>
      <c r="B61" s="7">
        <v>0.91</v>
      </c>
      <c r="R61">
        <v>7</v>
      </c>
      <c r="S61">
        <f t="shared" si="13"/>
        <v>86.700000000000017</v>
      </c>
      <c r="T61" t="e">
        <f>SQRT(#REF!/#REF!*2/$B$12)</f>
        <v>#REF!</v>
      </c>
      <c r="U61">
        <f>SQRT((S60-S61)*9.81*2)</f>
        <v>23.812139761054652</v>
      </c>
      <c r="V61" t="e">
        <f t="shared" si="15"/>
        <v>#REF!</v>
      </c>
      <c r="W61" t="e">
        <f t="shared" si="16"/>
        <v>#REF!</v>
      </c>
      <c r="Y61">
        <f t="shared" si="14"/>
        <v>36</v>
      </c>
      <c r="Z61" s="76" t="e">
        <f>60/#REF!*60</f>
        <v>#REF!</v>
      </c>
    </row>
    <row r="62" spans="1:26" x14ac:dyDescent="0.25">
      <c r="A62">
        <v>0.6</v>
      </c>
      <c r="B62" s="7">
        <v>0.9</v>
      </c>
      <c r="R62">
        <v>8</v>
      </c>
      <c r="S62">
        <f t="shared" si="13"/>
        <v>57.79999999999999</v>
      </c>
      <c r="T62" t="e">
        <f>SQRT(#REF!/#REF!*2/$B$12)</f>
        <v>#REF!</v>
      </c>
      <c r="U62">
        <f>SQRT((S61-S62)*9.81*2)</f>
        <v>23.812139761054667</v>
      </c>
      <c r="V62" t="e">
        <f t="shared" si="15"/>
        <v>#REF!</v>
      </c>
      <c r="W62" t="e">
        <f t="shared" si="16"/>
        <v>#REF!</v>
      </c>
      <c r="Y62">
        <f t="shared" si="14"/>
        <v>36</v>
      </c>
      <c r="Z62" s="76" t="e">
        <f>60/#REF!*60</f>
        <v>#REF!</v>
      </c>
    </row>
    <row r="63" spans="1:26" x14ac:dyDescent="0.25">
      <c r="A63">
        <v>0.65</v>
      </c>
      <c r="B63" s="7">
        <v>0.89</v>
      </c>
      <c r="R63">
        <v>9</v>
      </c>
      <c r="S63">
        <f t="shared" si="13"/>
        <v>28.899999999999995</v>
      </c>
      <c r="T63" t="e">
        <f>SQRT(#REF!/#REF!*2/$B$12)</f>
        <v>#REF!</v>
      </c>
      <c r="U63">
        <f>SQRT((S62-S63)*9.81*2)</f>
        <v>23.812139761054652</v>
      </c>
      <c r="V63" t="e">
        <f t="shared" si="15"/>
        <v>#REF!</v>
      </c>
      <c r="W63" t="e">
        <f t="shared" si="16"/>
        <v>#REF!</v>
      </c>
      <c r="Y63">
        <f t="shared" si="14"/>
        <v>36</v>
      </c>
      <c r="Z63" s="76" t="e">
        <f>60/#REF!*60</f>
        <v>#REF!</v>
      </c>
    </row>
    <row r="64" spans="1:26" x14ac:dyDescent="0.25">
      <c r="A64">
        <v>0.7</v>
      </c>
      <c r="B64" s="7">
        <v>0.88</v>
      </c>
      <c r="R64">
        <v>10</v>
      </c>
      <c r="S64">
        <f t="shared" si="13"/>
        <v>0</v>
      </c>
      <c r="T64" t="e">
        <f>SQRT(#REF!/#REF!*2/$B$12)</f>
        <v>#REF!</v>
      </c>
      <c r="U64">
        <f>SQRT((S63-S64)*9.81*2)</f>
        <v>23.812139761054652</v>
      </c>
      <c r="V64" t="e">
        <f t="shared" si="15"/>
        <v>#REF!</v>
      </c>
      <c r="W64" t="e">
        <f t="shared" si="16"/>
        <v>#REF!</v>
      </c>
      <c r="Y64">
        <f t="shared" si="14"/>
        <v>36</v>
      </c>
      <c r="Z64" s="76" t="e">
        <f>60/#REF!*60</f>
        <v>#REF!</v>
      </c>
    </row>
    <row r="65" spans="1:26" x14ac:dyDescent="0.25">
      <c r="A65">
        <v>0.75</v>
      </c>
      <c r="B65" s="7">
        <v>0.87</v>
      </c>
      <c r="R65">
        <v>11</v>
      </c>
      <c r="S65">
        <f t="shared" ref="S65:S74" si="17">(R65-10)/10*$S$51</f>
        <v>28.900000000000002</v>
      </c>
      <c r="X65" s="99"/>
      <c r="Y65">
        <f t="shared" si="14"/>
        <v>36</v>
      </c>
      <c r="Z65" s="76" t="e">
        <f>60/#REF!*60</f>
        <v>#REF!</v>
      </c>
    </row>
    <row r="66" spans="1:26" x14ac:dyDescent="0.25">
      <c r="A66">
        <v>0.8</v>
      </c>
      <c r="B66" s="7">
        <v>0.86</v>
      </c>
      <c r="R66">
        <v>12</v>
      </c>
      <c r="S66">
        <f t="shared" si="17"/>
        <v>57.800000000000004</v>
      </c>
      <c r="Y66">
        <f t="shared" si="14"/>
        <v>36</v>
      </c>
      <c r="Z66" s="76" t="e">
        <f>60/#REF!*60</f>
        <v>#REF!</v>
      </c>
    </row>
    <row r="67" spans="1:26" x14ac:dyDescent="0.25">
      <c r="A67">
        <v>0.85</v>
      </c>
      <c r="B67" s="7">
        <v>0.85</v>
      </c>
      <c r="R67">
        <v>13</v>
      </c>
      <c r="S67">
        <f t="shared" si="17"/>
        <v>86.7</v>
      </c>
      <c r="Y67">
        <f t="shared" si="14"/>
        <v>36</v>
      </c>
      <c r="Z67" s="76" t="e">
        <f>60/#REF!*60</f>
        <v>#REF!</v>
      </c>
    </row>
    <row r="68" spans="1:26" x14ac:dyDescent="0.25">
      <c r="A68">
        <v>0.9</v>
      </c>
      <c r="B68" s="7">
        <v>0.84</v>
      </c>
      <c r="R68">
        <v>14</v>
      </c>
      <c r="S68">
        <f t="shared" si="17"/>
        <v>115.60000000000001</v>
      </c>
      <c r="Y68">
        <f t="shared" si="14"/>
        <v>36</v>
      </c>
      <c r="Z68" s="76" t="e">
        <f>60/#REF!*60</f>
        <v>#REF!</v>
      </c>
    </row>
    <row r="69" spans="1:26" x14ac:dyDescent="0.25">
      <c r="A69">
        <v>0.95</v>
      </c>
      <c r="B69" s="7">
        <v>0.83</v>
      </c>
      <c r="R69">
        <v>15</v>
      </c>
      <c r="S69">
        <f t="shared" si="17"/>
        <v>144.5</v>
      </c>
      <c r="Y69">
        <f t="shared" si="14"/>
        <v>36</v>
      </c>
      <c r="Z69" s="76" t="e">
        <f>60/#REF!*60</f>
        <v>#REF!</v>
      </c>
    </row>
    <row r="70" spans="1:26" x14ac:dyDescent="0.25">
      <c r="A70">
        <v>1</v>
      </c>
      <c r="B70" s="7">
        <v>0.82</v>
      </c>
      <c r="R70">
        <v>16</v>
      </c>
      <c r="S70">
        <f t="shared" si="17"/>
        <v>173.4</v>
      </c>
      <c r="Y70">
        <f t="shared" si="14"/>
        <v>36</v>
      </c>
      <c r="Z70" s="76" t="e">
        <f>60/#REF!*60</f>
        <v>#REF!</v>
      </c>
    </row>
    <row r="71" spans="1:26" x14ac:dyDescent="0.25">
      <c r="A71">
        <v>1.05</v>
      </c>
      <c r="B71" s="7">
        <v>0.81</v>
      </c>
      <c r="R71">
        <v>17</v>
      </c>
      <c r="S71">
        <f t="shared" si="17"/>
        <v>202.29999999999998</v>
      </c>
      <c r="Y71">
        <f t="shared" si="14"/>
        <v>36</v>
      </c>
      <c r="Z71" s="76" t="e">
        <f>60/#REF!*60</f>
        <v>#REF!</v>
      </c>
    </row>
    <row r="72" spans="1:26" x14ac:dyDescent="0.25">
      <c r="A72">
        <v>1.1000000000000001</v>
      </c>
      <c r="B72" s="7">
        <v>0.8</v>
      </c>
      <c r="R72">
        <v>18</v>
      </c>
      <c r="S72">
        <f t="shared" si="17"/>
        <v>231.20000000000002</v>
      </c>
      <c r="Y72">
        <f t="shared" si="14"/>
        <v>36</v>
      </c>
      <c r="Z72" s="76" t="e">
        <f>60/#REF!*60</f>
        <v>#REF!</v>
      </c>
    </row>
    <row r="73" spans="1:26" x14ac:dyDescent="0.25">
      <c r="A73">
        <v>1.1499999999999999</v>
      </c>
      <c r="B73" s="7">
        <v>0.79</v>
      </c>
      <c r="R73">
        <v>19</v>
      </c>
      <c r="S73">
        <f t="shared" si="17"/>
        <v>260.10000000000002</v>
      </c>
      <c r="Y73">
        <f t="shared" si="14"/>
        <v>36</v>
      </c>
      <c r="Z73" s="76" t="e">
        <f>60/#REF!*60</f>
        <v>#REF!</v>
      </c>
    </row>
    <row r="74" spans="1:26" x14ac:dyDescent="0.25">
      <c r="A74">
        <v>1.2</v>
      </c>
      <c r="B74" s="7">
        <v>0.78</v>
      </c>
      <c r="R74">
        <v>20</v>
      </c>
      <c r="S74">
        <f t="shared" si="17"/>
        <v>289</v>
      </c>
      <c r="Y74">
        <f t="shared" si="14"/>
        <v>36</v>
      </c>
      <c r="Z74" s="76" t="e">
        <f>60/#REF!*60</f>
        <v>#REF!</v>
      </c>
    </row>
    <row r="75" spans="1:26" x14ac:dyDescent="0.25">
      <c r="A75">
        <v>1.25</v>
      </c>
      <c r="B75" s="7">
        <v>0.77</v>
      </c>
    </row>
    <row r="76" spans="1:26" x14ac:dyDescent="0.25">
      <c r="A76">
        <v>1.3</v>
      </c>
      <c r="B76" s="7">
        <v>0.76</v>
      </c>
    </row>
    <row r="77" spans="1:26" x14ac:dyDescent="0.25">
      <c r="A77">
        <v>1.35</v>
      </c>
      <c r="B77" s="7">
        <v>0.75</v>
      </c>
    </row>
    <row r="78" spans="1:26" x14ac:dyDescent="0.25">
      <c r="A78">
        <v>1.4</v>
      </c>
      <c r="B78" s="7">
        <v>0.74</v>
      </c>
    </row>
    <row r="79" spans="1:26" x14ac:dyDescent="0.25">
      <c r="A79">
        <v>1.45</v>
      </c>
      <c r="B79" s="7">
        <v>0.73</v>
      </c>
    </row>
    <row r="80" spans="1:26" x14ac:dyDescent="0.25">
      <c r="A80">
        <v>1.5</v>
      </c>
      <c r="B80" s="7">
        <v>0.72</v>
      </c>
    </row>
    <row r="81" spans="1:2" x14ac:dyDescent="0.25">
      <c r="A81">
        <v>1.55</v>
      </c>
      <c r="B81" s="7">
        <v>0.71</v>
      </c>
    </row>
    <row r="82" spans="1:2" x14ac:dyDescent="0.25">
      <c r="A82">
        <v>1.6</v>
      </c>
      <c r="B82" s="7">
        <v>0.7</v>
      </c>
    </row>
    <row r="83" spans="1:2" x14ac:dyDescent="0.25">
      <c r="A83">
        <v>1.65</v>
      </c>
      <c r="B83" s="7">
        <v>0.69</v>
      </c>
    </row>
    <row r="84" spans="1:2" x14ac:dyDescent="0.25">
      <c r="A84">
        <v>1.7</v>
      </c>
      <c r="B84" s="7">
        <v>0.68</v>
      </c>
    </row>
  </sheetData>
  <mergeCells count="13">
    <mergeCell ref="K10:L10"/>
    <mergeCell ref="R17:S17"/>
    <mergeCell ref="B2:E2"/>
    <mergeCell ref="B3:E3"/>
    <mergeCell ref="B4:E4"/>
    <mergeCell ref="B5:E5"/>
    <mergeCell ref="B6:E6"/>
    <mergeCell ref="B7:E7"/>
    <mergeCell ref="B8:E8"/>
    <mergeCell ref="B17:E17"/>
    <mergeCell ref="B11:E11"/>
    <mergeCell ref="B12:E12"/>
    <mergeCell ref="B13:E13"/>
  </mergeCells>
  <dataValidations count="5">
    <dataValidation type="list" allowBlank="1" showInputMessage="1" showErrorMessage="1" sqref="L13" xr:uid="{00000000-0002-0000-0000-000000000000}">
      <formula1>$R$20:$R$23</formula1>
    </dataValidation>
    <dataValidation type="list" allowBlank="1" showInputMessage="1" showErrorMessage="1" sqref="L14" xr:uid="{00000000-0002-0000-0000-000001000000}">
      <formula1>"An,Aus"</formula1>
    </dataValidation>
    <dataValidation type="list" allowBlank="1" showInputMessage="1" showErrorMessage="1" sqref="L15" xr:uid="{00000000-0002-0000-0000-000002000000}">
      <formula1>$B$14:$E$14</formula1>
    </dataValidation>
    <dataValidation type="list" allowBlank="1" showInputMessage="1" showErrorMessage="1" sqref="L11" xr:uid="{00000000-0002-0000-0000-000003000000}">
      <formula1>$R$3:$S$3</formula1>
    </dataValidation>
    <dataValidation type="whole" allowBlank="1" showInputMessage="1" showErrorMessage="1" sqref="L12" xr:uid="{00000000-0002-0000-0000-000004000000}">
      <formula1>45</formula1>
      <formula2>250</formula2>
    </dataValidation>
  </dataValidations>
  <hyperlinks>
    <hyperlink ref="B46" r:id="rId1" xr:uid="{00000000-0004-0000-0000-000002000000}"/>
  </hyperlinks>
  <pageMargins left="0.7" right="0.7" top="0.75" bottom="0.75" header="0.3" footer="0.3"/>
  <pageSetup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European Investment Bank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LENDVAI Christian</dc:creator>
  <cp:lastModifiedBy>LENDVAI Christian</cp:lastModifiedBy>
  <dcterms:created xsi:type="dcterms:W3CDTF">2019-02-19T16:44:29Z</dcterms:created>
  <dcterms:modified xsi:type="dcterms:W3CDTF">2023-02-23T09:46:19Z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2b66c57-0888-49c5-9c42-f8765a044c7f_Enabled">
    <vt:lpwstr>true</vt:lpwstr>
  </property>
  <property fmtid="{D5CDD505-2E9C-101B-9397-08002B2CF9AE}" pid="3" name="MSIP_Label_a2b66c57-0888-49c5-9c42-f8765a044c7f_SetDate">
    <vt:lpwstr>2023-02-23T10:03:28Z</vt:lpwstr>
  </property>
  <property fmtid="{D5CDD505-2E9C-101B-9397-08002B2CF9AE}" pid="4" name="MSIP_Label_a2b66c57-0888-49c5-9c42-f8765a044c7f_Method">
    <vt:lpwstr>Privileged</vt:lpwstr>
  </property>
  <property fmtid="{D5CDD505-2E9C-101B-9397-08002B2CF9AE}" pid="5" name="MSIP_Label_a2b66c57-0888-49c5-9c42-f8765a044c7f_Name">
    <vt:lpwstr>Default Public</vt:lpwstr>
  </property>
  <property fmtid="{D5CDD505-2E9C-101B-9397-08002B2CF9AE}" pid="6" name="MSIP_Label_a2b66c57-0888-49c5-9c42-f8765a044c7f_SiteId">
    <vt:lpwstr>0b96d5d2-d153-4370-a2c7-8a926f24c8a1</vt:lpwstr>
  </property>
  <property fmtid="{D5CDD505-2E9C-101B-9397-08002B2CF9AE}" pid="7" name="MSIP_Label_a2b66c57-0888-49c5-9c42-f8765a044c7f_ActionId">
    <vt:lpwstr>8084a406-ff3f-4fe8-b7a2-e162710d61ce</vt:lpwstr>
  </property>
  <property fmtid="{D5CDD505-2E9C-101B-9397-08002B2CF9AE}" pid="8" name="MSIP_Label_a2b66c57-0888-49c5-9c42-f8765a044c7f_ContentBits">
    <vt:lpwstr>0</vt:lpwstr>
  </property>
</Properties>
</file>