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ml.chartshapes+xml"/>
  <Override PartName="/xl/charts/chart4.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https://d.docs.live.net/75465ed4c29e4ed1/Dokumente/e-mobility.at/Auto-Vergleich/"/>
    </mc:Choice>
  </mc:AlternateContent>
  <xr:revisionPtr revIDLastSave="45" documentId="13_ncr:1_{B6898D58-5970-4E8F-9B49-B2371E9B4DDB}" xr6:coauthVersionLast="47" xr6:coauthVersionMax="47" xr10:uidLastSave="{734DED15-AE6F-4327-BEB6-88FD1BD180E3}"/>
  <bookViews>
    <workbookView xWindow="-103" yWindow="-103" windowWidth="33120" windowHeight="18000" tabRatio="560" xr2:uid="{00000000-000D-0000-FFFF-FFFF00000000}"/>
  </bookViews>
  <sheets>
    <sheet name="Auto-Vergleich" sheetId="5" r:id="rId1"/>
  </sheets>
  <externalReferences>
    <externalReference r:id="rId2"/>
    <externalReference r:id="rId3"/>
    <externalReference r:id="rId4"/>
  </externalReferences>
  <definedNames>
    <definedName name="Annuity_car_1">'Auto-Vergleich'!$K$17</definedName>
    <definedName name="Annuity_car_2">'Auto-Vergleich'!$K$53</definedName>
    <definedName name="Car_1">'Auto-Vergleich'!$E$11</definedName>
    <definedName name="Car_2">'Auto-Vergleich'!$E$47</definedName>
    <definedName name="details_of_models">'Auto-Vergleich'!$B$146:$Y$199</definedName>
    <definedName name="Diesel">'Auto-Vergleich'!$D$138</definedName>
    <definedName name="Diesel_price">'Auto-Vergleich'!$P$5</definedName>
    <definedName name="Electrical">'Auto-Vergleich'!$D$136</definedName>
    <definedName name="Electrical_Energy_demand_car_1">'Auto-Vergleich'!$K$39</definedName>
    <definedName name="Electrical_Energy_demand_car_2">'Auto-Vergleich'!$K$75</definedName>
    <definedName name="Electricity_price">'Auto-Vergleich'!$P$3</definedName>
    <definedName name="Excel_BuiltIn__FilterDatabase">[1]Ausrichtung!#REF!</definedName>
    <definedName name="Excel_BuiltIn__FilterDatabase_3" localSheetId="0">[2]Strompreis!#REF!</definedName>
    <definedName name="Excel_BuiltIn__FilterDatabase_3">[2]Strompreis!#REF!</definedName>
    <definedName name="Fossile_Energy_demand_car_1">'Auto-Vergleich'!$K$28</definedName>
    <definedName name="Fossile_Energy_demand_car_2">'Auto-Vergleich'!$K$64</definedName>
    <definedName name="Fossile_Fuel_demand_car_1">'Auto-Vergleich'!$K$26</definedName>
    <definedName name="Fossile_Fuel_demand_car_2">'Auto-Vergleich'!$K$62</definedName>
    <definedName name="Fuel_type_car_1">'Auto-Vergleich'!$F$16</definedName>
    <definedName name="Fuel_type_car_2">'Auto-Vergleich'!$F$52</definedName>
    <definedName name="Gas_price">'Auto-Vergleich'!$P$6</definedName>
    <definedName name="list_of_models">'Auto-Vergleich'!$B$146:$B$199</definedName>
    <definedName name="LRMC_car_1">'Auto-Vergleich'!$K$18</definedName>
    <definedName name="LRMC_car_2">'Auto-Vergleich'!$K$54</definedName>
    <definedName name="Natural_gas">'Auto-Vergleich'!$D$139</definedName>
    <definedName name="NPV_car_1">'Auto-Vergleich'!$K$16</definedName>
    <definedName name="NPV_car_2">'Auto-Vergleich'!$K$52</definedName>
    <definedName name="OLE_LINK1_1">[1]Erläuterungen!#REF!</definedName>
    <definedName name="Petrol">'Auto-Vergleich'!$D$137</definedName>
    <definedName name="Petrol_price">'Auto-Vergleich'!$P$4</definedName>
    <definedName name="test" localSheetId="0">#REF!</definedName>
    <definedName name="test">#REF!</definedName>
    <definedName name="Text">[3]Sprachmodul!$C$1:$L$186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83" i="5" l="1"/>
  <c r="G169" i="5"/>
  <c r="W169" i="5"/>
  <c r="W192" i="5"/>
  <c r="W168" i="5"/>
  <c r="W167" i="5"/>
  <c r="W177" i="5"/>
  <c r="W194" i="5" l="1"/>
  <c r="W193" i="5"/>
  <c r="W191" i="5"/>
  <c r="W190" i="5"/>
  <c r="G171" i="5" l="1"/>
  <c r="W171" i="5"/>
  <c r="G170" i="5" l="1"/>
  <c r="W170" i="5"/>
  <c r="I172" i="5"/>
  <c r="W166" i="5" l="1"/>
  <c r="I165" i="5" l="1"/>
  <c r="J184" i="5"/>
  <c r="V89" i="5"/>
  <c r="L89" i="5"/>
  <c r="F55" i="5"/>
  <c r="P62" i="5" s="1"/>
  <c r="F19" i="5"/>
  <c r="P27" i="5" s="1"/>
  <c r="F35" i="5"/>
  <c r="F34" i="5"/>
  <c r="F33" i="5"/>
  <c r="K35" i="5" s="1"/>
  <c r="F32" i="5"/>
  <c r="F31" i="5"/>
  <c r="K38" i="5" s="1"/>
  <c r="K39" i="5" s="1"/>
  <c r="F28" i="5"/>
  <c r="F94" i="5" s="1"/>
  <c r="F27" i="5"/>
  <c r="F26" i="5"/>
  <c r="F25" i="5"/>
  <c r="F21" i="5"/>
  <c r="F97" i="5" s="1"/>
  <c r="F20" i="5"/>
  <c r="F96" i="5" s="1"/>
  <c r="F18" i="5"/>
  <c r="F95" i="5" s="1"/>
  <c r="F17" i="5"/>
  <c r="F92" i="5" s="1"/>
  <c r="F16" i="5"/>
  <c r="S12" i="5" s="1"/>
  <c r="F13" i="5"/>
  <c r="F88" i="5" s="1"/>
  <c r="F12" i="5"/>
  <c r="F71" i="5"/>
  <c r="F70" i="5"/>
  <c r="F69" i="5"/>
  <c r="K71" i="5" s="1"/>
  <c r="F68" i="5"/>
  <c r="K76" i="5" s="1"/>
  <c r="F67" i="5"/>
  <c r="K74" i="5" s="1"/>
  <c r="K75" i="5" s="1"/>
  <c r="K78" i="5" s="1"/>
  <c r="F64" i="5"/>
  <c r="P94" i="5" s="1"/>
  <c r="F63" i="5"/>
  <c r="F62" i="5"/>
  <c r="F61" i="5"/>
  <c r="K61" i="5" s="1"/>
  <c r="F57" i="5"/>
  <c r="P97" i="5" s="1"/>
  <c r="F56" i="5"/>
  <c r="F54" i="5"/>
  <c r="P95" i="5" s="1"/>
  <c r="F53" i="5"/>
  <c r="P92" i="5" s="1"/>
  <c r="F52" i="5"/>
  <c r="S66" i="5" s="1"/>
  <c r="F49" i="5"/>
  <c r="F48" i="5"/>
  <c r="G94" i="5"/>
  <c r="D94" i="5"/>
  <c r="L95" i="5"/>
  <c r="L94" i="5"/>
  <c r="L93" i="5"/>
  <c r="L92" i="5"/>
  <c r="L91" i="5"/>
  <c r="L88" i="5"/>
  <c r="L87" i="5"/>
  <c r="L86" i="5"/>
  <c r="D86" i="5"/>
  <c r="I86" i="5"/>
  <c r="N86" i="5"/>
  <c r="P86" i="5"/>
  <c r="S86" i="5"/>
  <c r="V86" i="5"/>
  <c r="V95" i="5"/>
  <c r="V94" i="5"/>
  <c r="V93" i="5"/>
  <c r="V92" i="5"/>
  <c r="V91" i="5"/>
  <c r="V88" i="5"/>
  <c r="V87" i="5"/>
  <c r="S95" i="5"/>
  <c r="S94" i="5"/>
  <c r="S93" i="5"/>
  <c r="S92" i="5"/>
  <c r="S91" i="5"/>
  <c r="S88" i="5"/>
  <c r="O87" i="5"/>
  <c r="P91" i="5"/>
  <c r="P88" i="5"/>
  <c r="Q94" i="5"/>
  <c r="Q93" i="5"/>
  <c r="Q98" i="5"/>
  <c r="Q97" i="5"/>
  <c r="Q96" i="5"/>
  <c r="Q95" i="5"/>
  <c r="Q92" i="5"/>
  <c r="N94" i="5"/>
  <c r="N93" i="5"/>
  <c r="N98" i="5"/>
  <c r="N97" i="5"/>
  <c r="N96" i="5"/>
  <c r="N95" i="5"/>
  <c r="N92" i="5"/>
  <c r="N91" i="5"/>
  <c r="N88" i="5"/>
  <c r="E87" i="5"/>
  <c r="I88" i="5"/>
  <c r="I91" i="5"/>
  <c r="I92" i="5"/>
  <c r="I93" i="5"/>
  <c r="I94" i="5"/>
  <c r="I95" i="5"/>
  <c r="G93" i="5"/>
  <c r="D93" i="5"/>
  <c r="G98" i="5"/>
  <c r="G97" i="5"/>
  <c r="G96" i="5"/>
  <c r="G95" i="5"/>
  <c r="G92" i="5"/>
  <c r="D98" i="5"/>
  <c r="D97" i="5"/>
  <c r="D96" i="5"/>
  <c r="D95" i="5"/>
  <c r="D92" i="5"/>
  <c r="D91" i="5"/>
  <c r="D88" i="5"/>
  <c r="Y148" i="5"/>
  <c r="I149" i="5"/>
  <c r="Y147" i="5"/>
  <c r="Y146" i="5"/>
  <c r="N175" i="5"/>
  <c r="C142" i="5"/>
  <c r="D142" i="5" s="1"/>
  <c r="E142" i="5" s="1"/>
  <c r="F142" i="5" s="1"/>
  <c r="G142" i="5" s="1"/>
  <c r="H142" i="5" s="1"/>
  <c r="K56" i="5"/>
  <c r="U94" i="5" s="1"/>
  <c r="N50" i="5"/>
  <c r="N51" i="5" s="1"/>
  <c r="Y49" i="5"/>
  <c r="K47" i="5"/>
  <c r="U86" i="5" s="1"/>
  <c r="W46" i="5"/>
  <c r="K20" i="5"/>
  <c r="K94" i="5" s="1"/>
  <c r="N14" i="5"/>
  <c r="Y14" i="5" s="1"/>
  <c r="Y13" i="5"/>
  <c r="K11" i="5"/>
  <c r="K86" i="5" s="1"/>
  <c r="W10" i="5"/>
  <c r="K142" i="5"/>
  <c r="L142" i="5" s="1"/>
  <c r="M142" i="5" s="1"/>
  <c r="N142" i="5" s="1"/>
  <c r="O142" i="5" s="1"/>
  <c r="P142" i="5" s="1"/>
  <c r="Q142" i="5" s="1"/>
  <c r="R142" i="5" s="1"/>
  <c r="S142" i="5" s="1"/>
  <c r="T142" i="5" s="1"/>
  <c r="U142" i="5" s="1"/>
  <c r="V142" i="5" s="1"/>
  <c r="W142" i="5" s="1"/>
  <c r="X142" i="5" s="1"/>
  <c r="Y142" i="5" s="1"/>
  <c r="Z142" i="5" s="1"/>
  <c r="AA142" i="5" s="1"/>
  <c r="AB142" i="5" s="1"/>
  <c r="K24" i="5" l="1"/>
  <c r="Y50" i="5"/>
  <c r="N15" i="5"/>
  <c r="Y51" i="5"/>
  <c r="N52" i="5"/>
  <c r="Z52" i="5" s="1"/>
  <c r="K32" i="5"/>
  <c r="S29" i="5"/>
  <c r="S65" i="5"/>
  <c r="S20" i="5"/>
  <c r="P18" i="5"/>
  <c r="K25" i="5"/>
  <c r="K27" i="5" s="1"/>
  <c r="K28" i="5" s="1"/>
  <c r="K29" i="5" s="1"/>
  <c r="P19" i="5"/>
  <c r="P67" i="5"/>
  <c r="S33" i="5"/>
  <c r="S11" i="5"/>
  <c r="Z47" i="5"/>
  <c r="S47" i="5"/>
  <c r="S31" i="5"/>
  <c r="S27" i="5"/>
  <c r="S24" i="5"/>
  <c r="T48" i="5"/>
  <c r="S60" i="5"/>
  <c r="S26" i="5"/>
  <c r="T50" i="5"/>
  <c r="T51" i="5" s="1"/>
  <c r="T52" i="5" s="1"/>
  <c r="P33" i="5"/>
  <c r="P28" i="5"/>
  <c r="K50" i="5"/>
  <c r="U89" i="5" s="1"/>
  <c r="K72" i="5"/>
  <c r="K26" i="5"/>
  <c r="K12" i="5" s="1"/>
  <c r="K87" i="5" s="1"/>
  <c r="P93" i="5"/>
  <c r="K62" i="5"/>
  <c r="F93" i="5"/>
  <c r="F58" i="5"/>
  <c r="P98" i="5" s="1"/>
  <c r="P17" i="5"/>
  <c r="P61" i="5"/>
  <c r="Z15" i="5"/>
  <c r="S18" i="5"/>
  <c r="S25" i="5"/>
  <c r="S22" i="5"/>
  <c r="S23" i="5"/>
  <c r="S30" i="5"/>
  <c r="F91" i="5"/>
  <c r="O49" i="5"/>
  <c r="V49" i="5" s="1"/>
  <c r="W49" i="5" s="1"/>
  <c r="X49" i="5" s="1"/>
  <c r="I12" i="5"/>
  <c r="I87" i="5" s="1"/>
  <c r="U11" i="5"/>
  <c r="S56" i="5"/>
  <c r="S51" i="5"/>
  <c r="S69" i="5"/>
  <c r="T47" i="5"/>
  <c r="S68" i="5"/>
  <c r="S52" i="5"/>
  <c r="S16" i="5"/>
  <c r="AA11" i="5"/>
  <c r="Z12" i="5"/>
  <c r="P64" i="5"/>
  <c r="K31" i="5"/>
  <c r="S19" i="5"/>
  <c r="S28" i="5"/>
  <c r="T12" i="5"/>
  <c r="S15" i="5"/>
  <c r="S32" i="5"/>
  <c r="T11" i="5"/>
  <c r="S63" i="5"/>
  <c r="S64" i="5"/>
  <c r="S48" i="5"/>
  <c r="S54" i="5"/>
  <c r="S67" i="5"/>
  <c r="S59" i="5"/>
  <c r="S61" i="5"/>
  <c r="S55" i="5"/>
  <c r="D78" i="5"/>
  <c r="D42" i="5"/>
  <c r="I48" i="5"/>
  <c r="S87" i="5" s="1"/>
  <c r="AA47" i="5"/>
  <c r="AA12" i="5"/>
  <c r="T14" i="5"/>
  <c r="T15" i="5" s="1"/>
  <c r="T16" i="5" s="1"/>
  <c r="T17" i="5" s="1"/>
  <c r="T18" i="5" s="1"/>
  <c r="T19" i="5" s="1"/>
  <c r="T20" i="5" s="1"/>
  <c r="T21" i="5" s="1"/>
  <c r="T22" i="5" s="1"/>
  <c r="T23" i="5" s="1"/>
  <c r="AA48" i="5"/>
  <c r="S17" i="5"/>
  <c r="Z11" i="5"/>
  <c r="Z48" i="5"/>
  <c r="S14" i="5"/>
  <c r="S50" i="5"/>
  <c r="S58" i="5"/>
  <c r="S62" i="5"/>
  <c r="S57" i="5"/>
  <c r="U47" i="5"/>
  <c r="S53" i="5"/>
  <c r="S21" i="5"/>
  <c r="K68" i="5"/>
  <c r="AB50" i="5" s="1"/>
  <c r="P51" i="5"/>
  <c r="P58" i="5"/>
  <c r="F86" i="5"/>
  <c r="K77" i="5"/>
  <c r="P54" i="5"/>
  <c r="P60" i="5"/>
  <c r="P50" i="5"/>
  <c r="K63" i="5"/>
  <c r="K64" i="5" s="1"/>
  <c r="K49" i="5" s="1"/>
  <c r="U88" i="5" s="1"/>
  <c r="K73" i="5"/>
  <c r="P63" i="5"/>
  <c r="P57" i="5"/>
  <c r="K41" i="5"/>
  <c r="K37" i="5"/>
  <c r="K40" i="5"/>
  <c r="K36" i="5"/>
  <c r="K42" i="5"/>
  <c r="K13" i="5"/>
  <c r="K88" i="5" s="1"/>
  <c r="P96" i="5"/>
  <c r="K60" i="5"/>
  <c r="K67" i="5"/>
  <c r="K66" i="5"/>
  <c r="Z50" i="5"/>
  <c r="Z51" i="5"/>
  <c r="Z13" i="5"/>
  <c r="Z49" i="5"/>
  <c r="Z14" i="5"/>
  <c r="O13" i="5"/>
  <c r="V13" i="5" s="1"/>
  <c r="W13" i="5" s="1"/>
  <c r="P24" i="5"/>
  <c r="P26" i="5"/>
  <c r="P29" i="5"/>
  <c r="P15" i="5"/>
  <c r="P31" i="5"/>
  <c r="P59" i="5"/>
  <c r="P56" i="5"/>
  <c r="P53" i="5"/>
  <c r="P69" i="5"/>
  <c r="P66" i="5"/>
  <c r="K14" i="5"/>
  <c r="K89" i="5" s="1"/>
  <c r="F22" i="5"/>
  <c r="P16" i="5"/>
  <c r="P32" i="5"/>
  <c r="P21" i="5"/>
  <c r="P30" i="5"/>
  <c r="P23" i="5"/>
  <c r="P20" i="5"/>
  <c r="P14" i="5"/>
  <c r="P25" i="5"/>
  <c r="P22" i="5"/>
  <c r="P55" i="5"/>
  <c r="P52" i="5"/>
  <c r="P68" i="5"/>
  <c r="P65" i="5"/>
  <c r="K30" i="5" l="1"/>
  <c r="AB14" i="5"/>
  <c r="Y15" i="5"/>
  <c r="N16" i="5"/>
  <c r="Z16" i="5" s="1"/>
  <c r="N53" i="5"/>
  <c r="Y52" i="5"/>
  <c r="U17" i="5"/>
  <c r="U16" i="5"/>
  <c r="U20" i="5"/>
  <c r="U19" i="5"/>
  <c r="U21" i="5"/>
  <c r="U18" i="5"/>
  <c r="U14" i="5"/>
  <c r="T24" i="5"/>
  <c r="T25" i="5" s="1"/>
  <c r="U23" i="5"/>
  <c r="K65" i="5"/>
  <c r="U22" i="5"/>
  <c r="R50" i="5"/>
  <c r="R51" i="5" s="1"/>
  <c r="U51" i="5"/>
  <c r="K48" i="5"/>
  <c r="U87" i="5" s="1"/>
  <c r="U50" i="5"/>
  <c r="U15" i="5"/>
  <c r="AB51" i="5"/>
  <c r="AB53" i="5"/>
  <c r="AB52" i="5"/>
  <c r="AB15" i="5"/>
  <c r="F98" i="5"/>
  <c r="R14" i="5"/>
  <c r="R15" i="5" s="1"/>
  <c r="R16" i="5" s="1"/>
  <c r="R17" i="5" s="1"/>
  <c r="X13" i="5"/>
  <c r="U52" i="5"/>
  <c r="T53" i="5"/>
  <c r="AA15" i="5"/>
  <c r="AA49" i="5"/>
  <c r="AA13" i="5"/>
  <c r="AA14" i="5"/>
  <c r="AA50" i="5"/>
  <c r="AA51" i="5"/>
  <c r="AA52" i="5"/>
  <c r="AB16" i="5" l="1"/>
  <c r="Y16" i="5"/>
  <c r="AA16" i="5" s="1"/>
  <c r="N17" i="5"/>
  <c r="Z17" i="5" s="1"/>
  <c r="N54" i="5"/>
  <c r="Y53" i="5"/>
  <c r="AA53" i="5" s="1"/>
  <c r="Z53" i="5"/>
  <c r="V14" i="5"/>
  <c r="W14" i="5" s="1"/>
  <c r="X14" i="5" s="1"/>
  <c r="U24" i="5"/>
  <c r="V15" i="5"/>
  <c r="W15" i="5" s="1"/>
  <c r="V50" i="5"/>
  <c r="W50" i="5" s="1"/>
  <c r="X50" i="5" s="1"/>
  <c r="V16" i="5"/>
  <c r="W16" i="5" s="1"/>
  <c r="T54" i="5"/>
  <c r="U53" i="5"/>
  <c r="R52" i="5"/>
  <c r="V51" i="5"/>
  <c r="W51" i="5" s="1"/>
  <c r="R18" i="5"/>
  <c r="V17" i="5"/>
  <c r="T26" i="5"/>
  <c r="U25" i="5"/>
  <c r="Y17" i="5" l="1"/>
  <c r="N18" i="5"/>
  <c r="Z18" i="5" s="1"/>
  <c r="AB17" i="5"/>
  <c r="N55" i="5"/>
  <c r="Y54" i="5"/>
  <c r="AA54" i="5" s="1"/>
  <c r="Z54" i="5"/>
  <c r="AB54" i="5"/>
  <c r="X51" i="5"/>
  <c r="X15" i="5"/>
  <c r="X16" i="5" s="1"/>
  <c r="R19" i="5"/>
  <c r="V18" i="5"/>
  <c r="R53" i="5"/>
  <c r="V52" i="5"/>
  <c r="W52" i="5" s="1"/>
  <c r="U26" i="5"/>
  <c r="T27" i="5"/>
  <c r="T55" i="5"/>
  <c r="U54" i="5"/>
  <c r="W17" i="5" l="1"/>
  <c r="X17" i="5" s="1"/>
  <c r="AA17" i="5"/>
  <c r="AB18" i="5"/>
  <c r="N19" i="5"/>
  <c r="Z19" i="5" s="1"/>
  <c r="Y18" i="5"/>
  <c r="AA18" i="5" s="1"/>
  <c r="N56" i="5"/>
  <c r="Y55" i="5"/>
  <c r="AA55" i="5" s="1"/>
  <c r="Z55" i="5"/>
  <c r="AB55" i="5"/>
  <c r="T28" i="5"/>
  <c r="U27" i="5"/>
  <c r="T56" i="5"/>
  <c r="U55" i="5"/>
  <c r="R54" i="5"/>
  <c r="V53" i="5"/>
  <c r="W53" i="5" s="1"/>
  <c r="X52" i="5"/>
  <c r="R20" i="5"/>
  <c r="V19" i="5"/>
  <c r="W18" i="5" l="1"/>
  <c r="N20" i="5"/>
  <c r="Z20" i="5" s="1"/>
  <c r="Y19" i="5"/>
  <c r="AA19" i="5" s="1"/>
  <c r="AB19" i="5"/>
  <c r="N57" i="5"/>
  <c r="Y56" i="5"/>
  <c r="AA56" i="5" s="1"/>
  <c r="Z56" i="5"/>
  <c r="AB56" i="5"/>
  <c r="X53" i="5"/>
  <c r="R21" i="5"/>
  <c r="V20" i="5"/>
  <c r="R55" i="5"/>
  <c r="V54" i="5"/>
  <c r="W54" i="5" s="1"/>
  <c r="T57" i="5"/>
  <c r="U56" i="5"/>
  <c r="T29" i="5"/>
  <c r="U28" i="5"/>
  <c r="W19" i="5" l="1"/>
  <c r="X18" i="5"/>
  <c r="N21" i="5"/>
  <c r="Z21" i="5" s="1"/>
  <c r="AB20" i="5"/>
  <c r="Y20" i="5"/>
  <c r="AA20" i="5" s="1"/>
  <c r="Y57" i="5"/>
  <c r="AA57" i="5" s="1"/>
  <c r="N58" i="5"/>
  <c r="Z57" i="5"/>
  <c r="AB57" i="5"/>
  <c r="T30" i="5"/>
  <c r="U29" i="5"/>
  <c r="R56" i="5"/>
  <c r="V55" i="5"/>
  <c r="W55" i="5" s="1"/>
  <c r="U57" i="5"/>
  <c r="T58" i="5"/>
  <c r="X54" i="5"/>
  <c r="R22" i="5"/>
  <c r="V21" i="5"/>
  <c r="X19" i="5" l="1"/>
  <c r="Y21" i="5"/>
  <c r="AA21" i="5" s="1"/>
  <c r="N22" i="5"/>
  <c r="Z22" i="5" s="1"/>
  <c r="AB21" i="5"/>
  <c r="W20" i="5"/>
  <c r="N59" i="5"/>
  <c r="Y58" i="5"/>
  <c r="AA58" i="5" s="1"/>
  <c r="Z58" i="5"/>
  <c r="AB58" i="5"/>
  <c r="X55" i="5"/>
  <c r="T59" i="5"/>
  <c r="U58" i="5"/>
  <c r="R23" i="5"/>
  <c r="V22" i="5"/>
  <c r="U30" i="5"/>
  <c r="T31" i="5"/>
  <c r="R57" i="5"/>
  <c r="V56" i="5"/>
  <c r="W56" i="5" s="1"/>
  <c r="X20" i="5" l="1"/>
  <c r="N23" i="5"/>
  <c r="Z23" i="5" s="1"/>
  <c r="AB22" i="5"/>
  <c r="Y22" i="5"/>
  <c r="AA22" i="5" s="1"/>
  <c r="W21" i="5"/>
  <c r="Y59" i="5"/>
  <c r="AA59" i="5" s="1"/>
  <c r="N60" i="5"/>
  <c r="Z59" i="5"/>
  <c r="AB59" i="5"/>
  <c r="X56" i="5"/>
  <c r="R58" i="5"/>
  <c r="V57" i="5"/>
  <c r="W57" i="5" s="1"/>
  <c r="T60" i="5"/>
  <c r="U59" i="5"/>
  <c r="T32" i="5"/>
  <c r="U31" i="5"/>
  <c r="R24" i="5"/>
  <c r="V23" i="5"/>
  <c r="X21" i="5" l="1"/>
  <c r="Y23" i="5"/>
  <c r="AA23" i="5" s="1"/>
  <c r="AB23" i="5"/>
  <c r="N24" i="5"/>
  <c r="Z24" i="5" s="1"/>
  <c r="W22" i="5"/>
  <c r="N61" i="5"/>
  <c r="Y60" i="5"/>
  <c r="AA60" i="5" s="1"/>
  <c r="Z60" i="5"/>
  <c r="AB60" i="5"/>
  <c r="X57" i="5"/>
  <c r="R25" i="5"/>
  <c r="V24" i="5"/>
  <c r="T33" i="5"/>
  <c r="U33" i="5" s="1"/>
  <c r="U32" i="5"/>
  <c r="R59" i="5"/>
  <c r="V58" i="5"/>
  <c r="W58" i="5" s="1"/>
  <c r="U60" i="5"/>
  <c r="T61" i="5"/>
  <c r="X22" i="5" l="1"/>
  <c r="AB24" i="5"/>
  <c r="Y24" i="5"/>
  <c r="AA24" i="5" s="1"/>
  <c r="N25" i="5"/>
  <c r="Z25" i="5" s="1"/>
  <c r="W23" i="5"/>
  <c r="N62" i="5"/>
  <c r="Y61" i="5"/>
  <c r="AA61" i="5" s="1"/>
  <c r="Z61" i="5"/>
  <c r="AB61" i="5"/>
  <c r="X58" i="5"/>
  <c r="R60" i="5"/>
  <c r="V59" i="5"/>
  <c r="W59" i="5" s="1"/>
  <c r="K52" i="5" s="1"/>
  <c r="R26" i="5"/>
  <c r="V25" i="5"/>
  <c r="U61" i="5"/>
  <c r="T62" i="5"/>
  <c r="X23" i="5" l="1"/>
  <c r="W24" i="5"/>
  <c r="K53" i="5"/>
  <c r="U91" i="5"/>
  <c r="K16" i="5"/>
  <c r="Y25" i="5"/>
  <c r="AA25" i="5" s="1"/>
  <c r="N26" i="5"/>
  <c r="Z26" i="5" s="1"/>
  <c r="AB25" i="5"/>
  <c r="Y62" i="5"/>
  <c r="AA62" i="5" s="1"/>
  <c r="N63" i="5"/>
  <c r="Z62" i="5"/>
  <c r="AB62" i="5"/>
  <c r="X59" i="5"/>
  <c r="T63" i="5"/>
  <c r="U62" i="5"/>
  <c r="R61" i="5"/>
  <c r="V60" i="5"/>
  <c r="W60" i="5" s="1"/>
  <c r="R27" i="5"/>
  <c r="V26" i="5"/>
  <c r="X24" i="5" l="1"/>
  <c r="K17" i="5"/>
  <c r="K91" i="5"/>
  <c r="K54" i="5"/>
  <c r="U93" i="5" s="1"/>
  <c r="U92" i="5"/>
  <c r="W25" i="5"/>
  <c r="N27" i="5"/>
  <c r="Z27" i="5" s="1"/>
  <c r="AB26" i="5"/>
  <c r="Y26" i="5"/>
  <c r="AA26" i="5" s="1"/>
  <c r="N64" i="5"/>
  <c r="Y63" i="5"/>
  <c r="AA63" i="5" s="1"/>
  <c r="Z63" i="5"/>
  <c r="AB63" i="5"/>
  <c r="X60" i="5"/>
  <c r="R28" i="5"/>
  <c r="V27" i="5"/>
  <c r="U63" i="5"/>
  <c r="T64" i="5"/>
  <c r="V61" i="5"/>
  <c r="W61" i="5" s="1"/>
  <c r="R62" i="5"/>
  <c r="X25" i="5" l="1"/>
  <c r="K92" i="5"/>
  <c r="K18" i="5"/>
  <c r="K93" i="5" s="1"/>
  <c r="W26" i="5"/>
  <c r="AB27" i="5"/>
  <c r="N28" i="5"/>
  <c r="Z28" i="5" s="1"/>
  <c r="Y27" i="5"/>
  <c r="AA27" i="5" s="1"/>
  <c r="N65" i="5"/>
  <c r="Y64" i="5"/>
  <c r="AA64" i="5" s="1"/>
  <c r="Z64" i="5"/>
  <c r="AB64" i="5"/>
  <c r="X61" i="5"/>
  <c r="R63" i="5"/>
  <c r="V62" i="5"/>
  <c r="W62" i="5" s="1"/>
  <c r="R29" i="5"/>
  <c r="V28" i="5"/>
  <c r="U64" i="5"/>
  <c r="T65" i="5"/>
  <c r="X26" i="5" l="1"/>
  <c r="W27" i="5"/>
  <c r="AB28" i="5"/>
  <c r="Y28" i="5"/>
  <c r="AA28" i="5" s="1"/>
  <c r="N29" i="5"/>
  <c r="Z29" i="5" s="1"/>
  <c r="Y65" i="5"/>
  <c r="AA65" i="5" s="1"/>
  <c r="N66" i="5"/>
  <c r="Z65" i="5"/>
  <c r="AB65" i="5"/>
  <c r="X62" i="5"/>
  <c r="T66" i="5"/>
  <c r="U65" i="5"/>
  <c r="R64" i="5"/>
  <c r="V63" i="5"/>
  <c r="W63" i="5" s="1"/>
  <c r="R30" i="5"/>
  <c r="V29" i="5"/>
  <c r="X27" i="5" l="1"/>
  <c r="N30" i="5"/>
  <c r="Z30" i="5" s="1"/>
  <c r="Y29" i="5"/>
  <c r="AA29" i="5" s="1"/>
  <c r="AB29" i="5"/>
  <c r="W28" i="5"/>
  <c r="N67" i="5"/>
  <c r="Y66" i="5"/>
  <c r="AA66" i="5" s="1"/>
  <c r="Z66" i="5"/>
  <c r="AB66" i="5"/>
  <c r="X63" i="5"/>
  <c r="T67" i="5"/>
  <c r="U66" i="5"/>
  <c r="R31" i="5"/>
  <c r="V30" i="5"/>
  <c r="V64" i="5"/>
  <c r="W64" i="5" s="1"/>
  <c r="R65" i="5"/>
  <c r="X28" i="5" l="1"/>
  <c r="W29" i="5"/>
  <c r="AB30" i="5"/>
  <c r="Y30" i="5"/>
  <c r="AA30" i="5" s="1"/>
  <c r="N31" i="5"/>
  <c r="Z31" i="5" s="1"/>
  <c r="Y67" i="5"/>
  <c r="AA67" i="5" s="1"/>
  <c r="N68" i="5"/>
  <c r="Z67" i="5"/>
  <c r="AB67" i="5"/>
  <c r="X64" i="5"/>
  <c r="R66" i="5"/>
  <c r="V65" i="5"/>
  <c r="W65" i="5" s="1"/>
  <c r="U67" i="5"/>
  <c r="T68" i="5"/>
  <c r="R32" i="5"/>
  <c r="V31" i="5"/>
  <c r="X29" i="5" l="1"/>
  <c r="N32" i="5"/>
  <c r="Z32" i="5" s="1"/>
  <c r="AB31" i="5"/>
  <c r="Y31" i="5"/>
  <c r="AA31" i="5" s="1"/>
  <c r="W30" i="5"/>
  <c r="Y68" i="5"/>
  <c r="AA68" i="5" s="1"/>
  <c r="N69" i="5"/>
  <c r="Z68" i="5"/>
  <c r="AB68" i="5"/>
  <c r="X65" i="5"/>
  <c r="R67" i="5"/>
  <c r="V66" i="5"/>
  <c r="W66" i="5" s="1"/>
  <c r="R33" i="5"/>
  <c r="V33" i="5" s="1"/>
  <c r="V32" i="5"/>
  <c r="T69" i="5"/>
  <c r="U69" i="5" s="1"/>
  <c r="U68" i="5"/>
  <c r="X30" i="5" l="1"/>
  <c r="Y32" i="5"/>
  <c r="AA32" i="5" s="1"/>
  <c r="AB32" i="5"/>
  <c r="N33" i="5"/>
  <c r="Z33" i="5" s="1"/>
  <c r="W31" i="5"/>
  <c r="X31" i="5" s="1"/>
  <c r="Y69" i="5"/>
  <c r="AA69" i="5" s="1"/>
  <c r="Z69" i="5"/>
  <c r="AB69" i="5"/>
  <c r="K57" i="5" s="1"/>
  <c r="U95" i="5" s="1"/>
  <c r="X66" i="5"/>
  <c r="R68" i="5"/>
  <c r="V67" i="5"/>
  <c r="W67" i="5" s="1"/>
  <c r="AB33" i="5" l="1"/>
  <c r="K21" i="5" s="1"/>
  <c r="K95" i="5" s="1"/>
  <c r="Y33" i="5"/>
  <c r="W32" i="5"/>
  <c r="X32" i="5" s="1"/>
  <c r="X67" i="5"/>
  <c r="R69" i="5"/>
  <c r="V69" i="5" s="1"/>
  <c r="W69" i="5" s="1"/>
  <c r="V68" i="5"/>
  <c r="W68" i="5" s="1"/>
  <c r="AA33" i="5" l="1"/>
  <c r="W33" i="5"/>
  <c r="X33" i="5" s="1"/>
  <c r="X68" i="5"/>
  <c r="X69"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K@iman</author>
  </authors>
  <commentList>
    <comment ref="K4" authorId="0" shapeId="0" xr:uid="{00000000-0006-0000-0000-000001000000}">
      <text>
        <r>
          <rPr>
            <sz val="10"/>
            <color indexed="81"/>
            <rFont val="Arial"/>
            <family val="2"/>
          </rPr>
          <t>365 - 52*2 (WE) - Urlaube, Feiertage</t>
        </r>
      </text>
    </comment>
    <comment ref="K5" authorId="0" shapeId="0" xr:uid="{00000000-0006-0000-0000-000002000000}">
      <text>
        <r>
          <rPr>
            <sz val="9"/>
            <color indexed="81"/>
            <rFont val="Tahoma"/>
            <family val="2"/>
          </rPr>
          <t>Power Mix Austria 2011: 154,73</t>
        </r>
      </text>
    </comment>
    <comment ref="L16" authorId="0" shapeId="0" xr:uid="{00000000-0006-0000-0000-000003000000}">
      <text>
        <r>
          <rPr>
            <sz val="8"/>
            <color indexed="81"/>
            <rFont val="Tahoma"/>
            <family val="2"/>
          </rPr>
          <t>Sum of DCF</t>
        </r>
      </text>
    </comment>
    <comment ref="L17" authorId="0" shapeId="0" xr:uid="{00000000-0006-0000-0000-000004000000}">
      <text>
        <r>
          <rPr>
            <sz val="8"/>
            <color indexed="81"/>
            <rFont val="Tahoma"/>
            <family val="2"/>
          </rPr>
          <t xml:space="preserve">NPV * CRF
</t>
        </r>
      </text>
    </comment>
    <comment ref="L18" authorId="0" shapeId="0" xr:uid="{00000000-0006-0000-0000-000005000000}">
      <text>
        <r>
          <rPr>
            <sz val="8"/>
            <color indexed="81"/>
            <rFont val="Tahoma"/>
            <family val="2"/>
          </rPr>
          <t>Long Range Marginal Costs
Annuity of costs  / Annual distance</t>
        </r>
      </text>
    </comment>
    <comment ref="L52" authorId="0" shapeId="0" xr:uid="{00000000-0006-0000-0000-000006000000}">
      <text>
        <r>
          <rPr>
            <sz val="8"/>
            <color indexed="81"/>
            <rFont val="Tahoma"/>
            <family val="2"/>
          </rPr>
          <t>Sum of DCF</t>
        </r>
      </text>
    </comment>
    <comment ref="L53" authorId="0" shapeId="0" xr:uid="{00000000-0006-0000-0000-000007000000}">
      <text>
        <r>
          <rPr>
            <sz val="8"/>
            <color indexed="81"/>
            <rFont val="Tahoma"/>
            <family val="2"/>
          </rPr>
          <t xml:space="preserve">NPV * CRF
</t>
        </r>
      </text>
    </comment>
    <comment ref="L54" authorId="0" shapeId="0" xr:uid="{00000000-0006-0000-0000-000008000000}">
      <text>
        <r>
          <rPr>
            <sz val="8"/>
            <color indexed="81"/>
            <rFont val="Tahoma"/>
            <family val="2"/>
          </rPr>
          <t>Long Range Marginal Costs
Annuity of costs  / Annual distance</t>
        </r>
      </text>
    </comment>
    <comment ref="N146" authorId="0" shapeId="0" xr:uid="{00000000-0006-0000-0000-000009000000}">
      <text>
        <r>
          <rPr>
            <sz val="9"/>
            <color indexed="81"/>
            <rFont val="Tahoma"/>
            <family val="2"/>
          </rPr>
          <t>Prospekt: Bateriereichweite --&gt; 130km</t>
        </r>
      </text>
    </comment>
    <comment ref="P146" authorId="0" shapeId="0" xr:uid="{00000000-0006-0000-0000-00000A000000}">
      <text>
        <r>
          <rPr>
            <sz val="9"/>
            <color indexed="81"/>
            <rFont val="Tahoma"/>
            <family val="2"/>
          </rPr>
          <t>2012: New 14.000US$</t>
        </r>
      </text>
    </comment>
    <comment ref="Q146" authorId="0" shapeId="0" xr:uid="{00000000-0006-0000-0000-00000B000000}">
      <text>
        <r>
          <rPr>
            <sz val="9"/>
            <color indexed="81"/>
            <rFont val="Tahoma"/>
            <family val="2"/>
          </rPr>
          <t xml:space="preserve">Capacity 88 x 50Ah
16kWh
http://promotion.citroen.at/flipbooks/czero_prospekt/files/czero_16p_at_1010_modified.pdf
</t>
        </r>
      </text>
    </comment>
    <comment ref="R146" authorId="0" shapeId="0" xr:uid="{00000000-0006-0000-0000-00000C000000}">
      <text>
        <r>
          <rPr>
            <b/>
            <sz val="9"/>
            <color indexed="81"/>
            <rFont val="Tahoma"/>
            <family val="2"/>
          </rPr>
          <t>15% during 1000Cykles</t>
        </r>
      </text>
    </comment>
    <comment ref="N147" authorId="0" shapeId="0" xr:uid="{00000000-0006-0000-0000-00000D000000}">
      <text>
        <r>
          <rPr>
            <sz val="9"/>
            <color indexed="81"/>
            <rFont val="Tahoma"/>
            <family val="2"/>
          </rPr>
          <t>Prospekt: Bateriereichweite --&gt; 130km</t>
        </r>
      </text>
    </comment>
    <comment ref="P147" authorId="0" shapeId="0" xr:uid="{00000000-0006-0000-0000-00000E000000}">
      <text>
        <r>
          <rPr>
            <sz val="9"/>
            <color indexed="81"/>
            <rFont val="Tahoma"/>
            <family val="2"/>
          </rPr>
          <t>2012: New 14.000US$</t>
        </r>
      </text>
    </comment>
    <comment ref="Q147" authorId="0" shapeId="0" xr:uid="{00000000-0006-0000-0000-00000F000000}">
      <text>
        <r>
          <rPr>
            <sz val="9"/>
            <color indexed="81"/>
            <rFont val="Tahoma"/>
            <family val="2"/>
          </rPr>
          <t xml:space="preserve">Capacity 88 x 50Ah
16kWh
http://promotion.citroen.at/flipbooks/czero_prospekt/files/czero_16p_at_1010_modified.pdf
</t>
        </r>
      </text>
    </comment>
    <comment ref="R147" authorId="0" shapeId="0" xr:uid="{00000000-0006-0000-0000-000010000000}">
      <text>
        <r>
          <rPr>
            <b/>
            <sz val="9"/>
            <color indexed="81"/>
            <rFont val="Tahoma"/>
            <family val="2"/>
          </rPr>
          <t>15% during 1000Cykles</t>
        </r>
      </text>
    </comment>
    <comment ref="N148" authorId="0" shapeId="0" xr:uid="{00000000-0006-0000-0000-000011000000}">
      <text>
        <r>
          <rPr>
            <sz val="9"/>
            <color indexed="81"/>
            <rFont val="Tahoma"/>
            <family val="2"/>
          </rPr>
          <t>Prospekt: Bateriereichweite --&gt; 130km</t>
        </r>
      </text>
    </comment>
    <comment ref="P148" authorId="0" shapeId="0" xr:uid="{00000000-0006-0000-0000-000012000000}">
      <text>
        <r>
          <rPr>
            <sz val="9"/>
            <color indexed="81"/>
            <rFont val="Tahoma"/>
            <family val="2"/>
          </rPr>
          <t>2012: New 14.000US$</t>
        </r>
      </text>
    </comment>
    <comment ref="Q148" authorId="0" shapeId="0" xr:uid="{00000000-0006-0000-0000-000013000000}">
      <text>
        <r>
          <rPr>
            <sz val="9"/>
            <color indexed="81"/>
            <rFont val="Tahoma"/>
            <family val="2"/>
          </rPr>
          <t xml:space="preserve">Capacity 88 x 50Ah
16kWh
http://promotion.citroen.at/flipbooks/czero_prospekt/files/czero_16p_at_1010_modified.pdf
</t>
        </r>
      </text>
    </comment>
    <comment ref="R148" authorId="0" shapeId="0" xr:uid="{00000000-0006-0000-0000-000014000000}">
      <text>
        <r>
          <rPr>
            <b/>
            <sz val="9"/>
            <color indexed="81"/>
            <rFont val="Tahoma"/>
            <family val="2"/>
          </rPr>
          <t>15% during 1000Cykles</t>
        </r>
      </text>
    </comment>
    <comment ref="I149" authorId="0" shapeId="0" xr:uid="{00000000-0006-0000-0000-000015000000}">
      <text>
        <r>
          <rPr>
            <sz val="9"/>
            <color indexed="81"/>
            <rFont val="Tahoma"/>
            <family val="2"/>
          </rPr>
          <t xml:space="preserve">No value found!
It is calculated!
</t>
        </r>
      </text>
    </comment>
    <comment ref="Q150" authorId="0" shapeId="0" xr:uid="{00000000-0006-0000-0000-000016000000}">
      <text>
        <r>
          <rPr>
            <sz val="9"/>
            <color indexed="81"/>
            <rFont val="Tahoma"/>
            <family val="2"/>
          </rPr>
          <t>65Ah
BATTERIE/LADESYSTEM
Batterietyp Lithium-Ionen
Gewicht der Batterie (kg) 260
Nennkapazität (kWh/Ah) 22/65
Anzahl der Zellen/Module/Blöcke 192/48/2
Nennspannung AC/DC (V) 230 bis 400
Stromverbrauch gewichtet, kombiniert (kWh/100 km) 15,5
Position der Batterie Unterfl ur, ohne Quickdrop-Funktion
Position des Ladeanschlusses Frontverkleidung
Standardladung5/Notladung6 230 V(AC)/16 A/1-phasig / 230 V(AC)/10 A/1-phasig
LADEDAUER (in Stunden)
0 % auf 100 % 8
0 % auf 50 % 3,5
50 % auf 100 % 4,5
20 % auf 80 % 4,5
Maximaler Stromverbrauch im 230 V-Netz (kW) 3
Typ Ladestecker Standardladung Fahrzeug: Yazaki J1772
Ladesäule/Wall Box: Mennekes Typ 2</t>
        </r>
      </text>
    </comment>
    <comment ref="U150" authorId="0" shapeId="0" xr:uid="{00000000-0006-0000-0000-000017000000}">
      <text>
        <r>
          <rPr>
            <b/>
            <sz val="10"/>
            <color indexed="81"/>
            <rFont val="Tahoma"/>
            <family val="2"/>
          </rPr>
          <t>BATTERIE</t>
        </r>
        <r>
          <rPr>
            <sz val="10"/>
            <color indexed="81"/>
            <rFont val="Tahoma"/>
            <family val="2"/>
          </rPr>
          <t xml:space="preserve">
</t>
        </r>
        <r>
          <rPr>
            <b/>
            <sz val="10"/>
            <color indexed="81"/>
            <rFont val="Tahoma"/>
            <family val="2"/>
          </rPr>
          <t>Um das Elektrofahrzeug bestimmungsgemäß nutzen zu können, benötigen Sie neben der Bestellung des Elektrofahrzeugs eine Antriebsbatterie. Das Elektrofahrzeug wird nur verkauft</t>
        </r>
        <r>
          <rPr>
            <sz val="10"/>
            <color indexed="81"/>
            <rFont val="Tahoma"/>
            <family val="2"/>
          </rPr>
          <t xml:space="preserve"> </t>
        </r>
        <r>
          <rPr>
            <b/>
            <sz val="10"/>
            <color indexed="81"/>
            <rFont val="Tahoma"/>
            <family val="2"/>
          </rPr>
          <t xml:space="preserve">bei gleichzeitigem Abschluss eines Mietvertrags für die Antriebsbatterie mit der Renault Leasing.
</t>
        </r>
        <r>
          <rPr>
            <sz val="10"/>
            <color indexed="81"/>
            <rFont val="Tahoma"/>
            <family val="2"/>
          </rPr>
          <t xml:space="preserve">
PREISE DER BATTERIEMIETE                                             Laufleistung (km/Jahr)
                                                            10.000 km        15.000 km     20.000 km     25.000 km         30.000 km
Laufzeit                                                 Preise EUR      Preise EUR   Preise EUR     Preise EUR         Preise EUR
12 Monate                                              102,–                116,–            132,–              148,–               168,–
24 Monate                                               92,–                 106,–            122,–              138,–               158,–
36 Monate                                               82,–                  96,–             112,–              128,–               148,–
48 Monate                                               82,–                  96,–             112,–              128,–               148,–
Der monatliche Mietzins deckt die Bereistellungskosten für die Batterie sowie die Renault Z.E. Assistance ab
Es wird ein Grenzwert für die Leistungsfähigkeit der Batterie von 75 % der zu Beginn vorhandenen Kapazität garantiert.
Für Mehrkilometer wird pro km ein Betrag von 5 Ct. (inkl. MwSt.) berechnet. Für Minderkilometer erfolgt eine Gutschrift von 1,7 Ct. (inkl. MwSt.) pro km.
Weitere Laufzeit/Laufleistungskombinationen auf Anfrage möglich. Die Mindestlaufleistung beträgt 10.000 km.
VERTRAG ZUR BATTERIEMIETE UND ZUGEHÖRIGE SERVICES NACH DEN KONDITIONEN DER RENAULT BANK
GESCHÄFTSBEREICH DER RCI BANQUE S.A. NIEDERLASSUNG DEUTSCHLAND
Um das Elektrofahrzeug bestimmungsgemäß nutzen zu können, benötigen Sie neben der Bestellung des Elektrofahrzeugs eine Antriebsbatterie. Das Elektrofahrzeug wird nur verkauft bei gleichzeitigem Abschluss eines Mietvertrags für die Antriebsbatterie mit der Renault Leasing. Die Batterie bedarf eines gesonderten Vertrages zur Batteriemiete und zugehörige Services mit der Renault Bank. Sie bleibt während der Mietdauer Eigentum der Renault Bank.
LADETECHNIK
Renault empfiehlt zur Vermeidung von Lade- und Elektronikrisiken beim Laden der Batterie die von Renault zertifizierte Ladeinfrastruktur sowie Ladeausrüstung (Ladestation, Kabel). Die nichtöffentliche Ladeausrüstung muss von einem qualifizierten Elektriker auf eigenen Kosten installiert werden.
RENAULT Z.E. ASSISTANCE
Bei der Renault Z.E. Assistance handelt es sich um eine Pannenhilfe inkl. Mobilitätslösung. Im Falle eines Energieausfalles werden Sie zu einem gewünschten Ladepunkt im Umkreis von bis zu 80 km abgeschleppt. In allen anderen Fällen werden Sie zur Diagnose zu einem Renault Z.E. Stützpunkt transportiert.
* Gutschrift bis max. 5.000 Minderkilometer. Keine Gutschrift bei Minderkilometer unterhalb der Mindestlaufleistung
von 10.000 km (Twizy 7.500 km).
http://typo3.p163919.mittwaldserver.info/fileadmin/user_upload/Broschuere_ZE-BOX_111215.pdf
http://typo3.p163919.mittwaldserver.info/fileadmin/user_upload/Broschuere_Erste_Fahrt_120206.pdf
</t>
        </r>
      </text>
    </comment>
    <comment ref="V150" authorId="0" shapeId="0" xr:uid="{00000000-0006-0000-0000-000018000000}">
      <text>
        <r>
          <rPr>
            <sz val="9"/>
            <color indexed="81"/>
            <rFont val="Tahoma"/>
            <family val="2"/>
          </rPr>
          <t xml:space="preserve">RENAULT SERVICE-VERTRÄGE
Bei Kauf eines Neufahrzeugs haben Sie die Möglichkeit einen Service-Vertrag abzuschließen.
Drei verschiedene Produkte stehen Ihnen zur Auswahl:
• Renault Plus Garantie (Anschlussgarantie für die Renault Z.E. Modelle, bis zu 72 Monate bzw. 100.000 km)
• Renault Komfort Service LIGHT (Wartungsvertrag, bis zu 60 Monate bzw. 200.000 km)
• Renault Komfort Service (Wartungsvertrag, bis zu 60 Monate bzw. 200.000 km)
Zu den Preisen, Leistungen und allgemeinen Vertragsbedingungen dieser beruhigenden Serviceangebote, mit
denen Sie sich ganz individuell absichern können, wird Sie Ihr Renault Partner gerne beraten.
SERVICE-VERTRÄGE Preise EUR
Renault Plus Garantie (Anschlussgarantie zur Verlängerung der Herstellergarantie) inkl. MwSt.
- 36 Monate Laufzeit bis max. 50.000 km Laufleistung 289,–
- 48 Monate Laufzeit bis max. 60.000 km Laufleistung 430,–
- 36 Monate Laufzeit bis max. 90.000 km Laufleistung 410,–
- 48 Monate Laufzeit bis max. 100.000 km Laufleistung 546,–
- 60 Monate Laufzeit bis max. 100.000 km Laufleistung 670,–
- 72 Monate Laufzeit bis max. 100.000 km Laufleistung 896,–
Zwei weitere Produkte stehen Ihnen zur Auswahl:
• Renault Plus Garantie PLUS (Wartungsvertrag inkl. Anschlussgarantie, bis zu 60 Monate bzw. 200.000 km)
• Renault Komfort Service (Wartungsvertrag inkl. Anschlussgarantie und Verschleißarbeiten sowie HU bei Fälligkeit, bis zu 60 Monate bzw. 200.000 km)
Laufzeiten und Laufleistungen sind ab Erstzulassung gerechnet.
Zu den Preisen, Leistungen und allgemeinen Vertragsbedingungen dieser beruhigenden Serviceangebote, mit denen Sie sich ganz individuell absichern können, wird Sie Ihr Renault Partner gerne beraten.
Oder besuchen Sie uns auf www.renault.de
</t>
        </r>
      </text>
    </comment>
    <comment ref="Q151" authorId="0" shapeId="0" xr:uid="{00000000-0006-0000-0000-000019000000}">
      <text>
        <r>
          <rPr>
            <sz val="9"/>
            <color indexed="81"/>
            <rFont val="Tahoma"/>
            <family val="2"/>
          </rPr>
          <t>65Ah
BATTERIE/LADESYSTEM
Batterietyp Lithium-Ionen
Gewicht der Batterie (kg) 260
Nennkapazität (kWh/Ah) 22/65
Anzahl der Zellen/Module/Blöcke 192/48/2
Nennspannung AC/DC (V) 230 bis 400
Stromverbrauch gewichtet, kombiniert (kWh/100 km) 15,5
Position der Batterie Unterfl ur, ohne Quickdrop-Funktion
Position des Ladeanschlusses Frontverkleidung
Standardladung5/Notladung6 230 V(AC)/16 A/1-phasig / 230 V(AC)/10 A/1-phasig
LADEDAUER (in Stunden)
0 % auf 100 % 8
0 % auf 50 % 3,5
50 % auf 100 % 4,5
20 % auf 80 % 4,5
Maximaler Stromverbrauch im 230 V-Netz (kW) 3
Typ Ladestecker Standardladung Fahrzeug: Yazaki J1772
Ladesäule/Wall Box: Mennekes Typ 2</t>
        </r>
      </text>
    </comment>
    <comment ref="U151" authorId="0" shapeId="0" xr:uid="{00000000-0006-0000-0000-00001A000000}">
      <text>
        <r>
          <rPr>
            <b/>
            <sz val="10"/>
            <color indexed="81"/>
            <rFont val="Tahoma"/>
            <family val="2"/>
          </rPr>
          <t>BATTERIE</t>
        </r>
        <r>
          <rPr>
            <sz val="10"/>
            <color indexed="81"/>
            <rFont val="Tahoma"/>
            <family val="2"/>
          </rPr>
          <t xml:space="preserve">
</t>
        </r>
        <r>
          <rPr>
            <b/>
            <sz val="10"/>
            <color indexed="81"/>
            <rFont val="Tahoma"/>
            <family val="2"/>
          </rPr>
          <t>Um das Elektrofahrzeug bestimmungsgemäß nutzen zu können, benötigen Sie neben der Bestellung des Elektrofahrzeugs eine Antriebsbatterie. Das Elektrofahrzeug wird nur verkauft</t>
        </r>
        <r>
          <rPr>
            <sz val="10"/>
            <color indexed="81"/>
            <rFont val="Tahoma"/>
            <family val="2"/>
          </rPr>
          <t xml:space="preserve"> </t>
        </r>
        <r>
          <rPr>
            <b/>
            <sz val="10"/>
            <color indexed="81"/>
            <rFont val="Tahoma"/>
            <family val="2"/>
          </rPr>
          <t xml:space="preserve">bei gleichzeitigem Abschluss eines Mietvertrags für die Antriebsbatterie mit der Renault Leasing.
</t>
        </r>
        <r>
          <rPr>
            <sz val="10"/>
            <color indexed="81"/>
            <rFont val="Tahoma"/>
            <family val="2"/>
          </rPr>
          <t xml:space="preserve">
PREISE DER BATTERIEMIETE                                             Laufleistung (km/Jahr)
                                                            10.000 km        15.000 km     20.000 km     25.000 km         30.000 km
Laufzeit                                                 Preise EUR      Preise EUR   Preise EUR     Preise EUR         Preise EUR
12 Monate                                              102,–                116,–            132,–              148,–               168,–
24 Monate                                               92,–                 106,–            122,–              138,–               158,–
36 Monate                                               82,–                  96,–             112,–              128,–               148,–
48 Monate                                               82,–                  96,–             112,–              128,–               148,–
Der monatliche Mietzins deckt die Bereistellungskosten für die Batterie sowie die Renault Z.E. Assistance ab
Es wird ein Grenzwert für die Leistungsfähigkeit der Batterie von 75 % der zu Beginn vorhandenen Kapazität garantiert.
Für Mehrkilometer wird pro km ein Betrag von 5 Ct. (inkl. MwSt.) berechnet. Für Minderkilometer erfolgt eine Gutschrift von 1,7 Ct. (inkl. MwSt.) pro km.
Weitere Laufzeit/Laufleistungskombinationen auf Anfrage möglich. Die Mindestlaufleistung beträgt 10.000 km.
VERTRAG ZUR BATTERIEMIETE UND ZUGEHÖRIGE SERVICES NACH DEN KONDITIONEN DER RENAULT BANK
GESCHÄFTSBEREICH DER RCI BANQUE S.A. NIEDERLASSUNG DEUTSCHLAND
Um das Elektrofahrzeug bestimmungsgemäß nutzen zu können, benötigen Sie neben der Bestellung des Elektrofahrzeugs eine Antriebsbatterie. Das Elektrofahrzeug wird nur verkauft bei gleichzeitigem Abschluss eines Mietvertrags für die Antriebsbatterie mit der Renault Leasing. Die Batterie bedarf eines gesonderten Vertrages zur Batteriemiete und zugehörige Services mit der Renault Bank. Sie bleibt während der Mietdauer Eigentum der Renault Bank.
LADETECHNIK
Renault empfiehlt zur Vermeidung von Lade- und Elektronikrisiken beim Laden der Batterie die von Renault zertifizierte Ladeinfrastruktur sowie Ladeausrüstung (Ladestation, Kabel). Die nichtöffentliche Ladeausrüstung muss von einem qualifizierten Elektriker auf eigenen Kosten installiert werden.
RENAULT Z.E. ASSISTANCE
Bei der Renault Z.E. Assistance handelt es sich um eine Pannenhilfe inkl. Mobilitätslösung. Im Falle eines Energieausfalles werden Sie zu einem gewünschten Ladepunkt im Umkreis von bis zu 80 km abgeschleppt. In allen anderen Fällen werden Sie zur Diagnose zu einem Renault Z.E. Stützpunkt transportiert.
* Gutschrift bis max. 5.000 Minderkilometer. Keine Gutschrift bei Minderkilometer unterhalb der Mindestlaufleistung
von 10.000 km (Twizy 7.500 km).
http://typo3.p163919.mittwaldserver.info/fileadmin/user_upload/Broschuere_ZE-BOX_111215.pdf
http://typo3.p163919.mittwaldserver.info/fileadmin/user_upload/Broschuere_Erste_Fahrt_120206.pdf
</t>
        </r>
      </text>
    </comment>
    <comment ref="V151" authorId="0" shapeId="0" xr:uid="{00000000-0006-0000-0000-00001B000000}">
      <text>
        <r>
          <rPr>
            <sz val="9"/>
            <color indexed="81"/>
            <rFont val="Tahoma"/>
            <family val="2"/>
          </rPr>
          <t xml:space="preserve">RENAULT SERVICE-VERTRÄGE
Bei Kauf eines Neufahrzeugs haben Sie die Möglichkeit einen Service-Vertrag abzuschließen.
Drei verschiedene Produkte stehen Ihnen zur Auswahl:
• Renault Plus Garantie (Anschlussgarantie für die Renault Z.E. Modelle, bis zu 72 Monate bzw. 100.000 km)
• Renault Komfort Service LIGHT (Wartungsvertrag, bis zu 60 Monate bzw. 200.000 km)
• Renault Komfort Service (Wartungsvertrag, bis zu 60 Monate bzw. 200.000 km)
Zu den Preisen, Leistungen und allgemeinen Vertragsbedingungen dieser beruhigenden Serviceangebote, mit
denen Sie sich ganz individuell absichern können, wird Sie Ihr Renault Partner gerne beraten.
SERVICE-VERTRÄGE Preise EUR
Renault Plus Garantie (Anschlussgarantie zur Verlängerung der Herstellergarantie) inkl. MwSt.
- 36 Monate Laufzeit bis max. 50.000 km Laufleistung 289,–
- 48 Monate Laufzeit bis max. 60.000 km Laufleistung 430,–
- 36 Monate Laufzeit bis max. 90.000 km Laufleistung 410,–
- 48 Monate Laufzeit bis max. 100.000 km Laufleistung 546,–
- 60 Monate Laufzeit bis max. 100.000 km Laufleistung 670,–
- 72 Monate Laufzeit bis max. 100.000 km Laufleistung 896,–
Zwei weitere Produkte stehen Ihnen zur Auswahl:
• Renault Plus Garantie PLUS (Wartungsvertrag inkl. Anschlussgarantie, bis zu 60 Monate bzw. 200.000 km)
• Renault Komfort Service (Wartungsvertrag inkl. Anschlussgarantie und Verschleißarbeiten sowie HU bei Fälligkeit, bis zu 60 Monate bzw. 200.000 km)
Laufzeiten und Laufleistungen sind ab Erstzulassung gerechnet.
Zu den Preisen, Leistungen und allgemeinen Vertragsbedingungen dieser beruhigenden Serviceangebote, mit denen Sie sich ganz individuell absichern können, wird Sie Ihr Renault Partner gerne beraten.
Oder besuchen Sie uns auf www.renault.de
</t>
        </r>
      </text>
    </comment>
    <comment ref="Q152" authorId="0" shapeId="0" xr:uid="{00000000-0006-0000-0000-00001C000000}">
      <text>
        <r>
          <rPr>
            <sz val="9"/>
            <color indexed="81"/>
            <rFont val="Tahoma"/>
            <family val="2"/>
          </rPr>
          <t>65Ah
BATTERIE/LADESYSTEM
Batterietyp Lithium-Ionen
Gewicht der Batterie (kg) 260
Nennkapazität (kWh/Ah) 22/65
Anzahl der Zellen/Module/Blöcke 192/48/2
Nennspannung AC/DC (V) 230 bis 400
Stromverbrauch gewichtet, kombiniert (kWh/100 km) 15,5
Position der Batterie Unterfl ur, ohne Quickdrop-Funktion
Position des Ladeanschlusses Frontverkleidung
Standardladung5/Notladung6 230 V(AC)/16 A/1-phasig / 230 V(AC)/10 A/1-phasig
LADEDAUER (in Stunden)
0 % auf 100 % 8
0 % auf 50 % 3,5
50 % auf 100 % 4,5
20 % auf 80 % 4,5
Maximaler Stromverbrauch im 230 V-Netz (kW) 3
Typ Ladestecker Standardladung Fahrzeug: Yazaki J1772
Ladesäule/Wall Box: Mennekes Typ 2</t>
        </r>
      </text>
    </comment>
    <comment ref="U152" authorId="0" shapeId="0" xr:uid="{00000000-0006-0000-0000-00001D000000}">
      <text>
        <r>
          <rPr>
            <b/>
            <sz val="10"/>
            <color indexed="81"/>
            <rFont val="Tahoma"/>
            <family val="2"/>
          </rPr>
          <t>BATTERIE</t>
        </r>
        <r>
          <rPr>
            <sz val="10"/>
            <color indexed="81"/>
            <rFont val="Tahoma"/>
            <family val="2"/>
          </rPr>
          <t xml:space="preserve">
</t>
        </r>
        <r>
          <rPr>
            <b/>
            <sz val="10"/>
            <color indexed="81"/>
            <rFont val="Tahoma"/>
            <family val="2"/>
          </rPr>
          <t>Um das Elektrofahrzeug bestimmungsgemäß nutzen zu können, benötigen Sie neben der Bestellung des Elektrofahrzeugs eine Antriebsbatterie. Das Elektrofahrzeug wird nur verkauft</t>
        </r>
        <r>
          <rPr>
            <sz val="10"/>
            <color indexed="81"/>
            <rFont val="Tahoma"/>
            <family val="2"/>
          </rPr>
          <t xml:space="preserve"> </t>
        </r>
        <r>
          <rPr>
            <b/>
            <sz val="10"/>
            <color indexed="81"/>
            <rFont val="Tahoma"/>
            <family val="2"/>
          </rPr>
          <t xml:space="preserve">bei gleichzeitigem Abschluss eines Mietvertrags für die Antriebsbatterie mit der Renault Leasing.
</t>
        </r>
        <r>
          <rPr>
            <sz val="10"/>
            <color indexed="81"/>
            <rFont val="Tahoma"/>
            <family val="2"/>
          </rPr>
          <t xml:space="preserve">
PREISE DER BATTERIEMIETE                                             Laufleistung (km/Jahr)
                                                            10.000 km        15.000 km     20.000 km     25.000 km         30.000 km
Laufzeit                                                 Preise EUR      Preise EUR   Preise EUR     Preise EUR         Preise EUR
12 Monate                                              102,–                116,–            132,–              148,–               168,–
24 Monate                                               92,–                 106,–            122,–              138,–               158,–
36 Monate                                               82,–                  96,–             112,–              128,–               148,–
48 Monate                                               82,–                  96,–             112,–              128,–               148,–
Der monatliche Mietzins deckt die Bereistellungskosten für die Batterie sowie die Renault Z.E. Assistance ab
Es wird ein Grenzwert für die Leistungsfähigkeit der Batterie von 75 % der zu Beginn vorhandenen Kapazität garantiert.
Für Mehrkilometer wird pro km ein Betrag von 5 Ct. (inkl. MwSt.) berechnet. Für Minderkilometer erfolgt eine Gutschrift von 1,7 Ct. (inkl. MwSt.) pro km.
Weitere Laufzeit/Laufleistungskombinationen auf Anfrage möglich. Die Mindestlaufleistung beträgt 10.000 km.
VERTRAG ZUR BATTERIEMIETE UND ZUGEHÖRIGE SERVICES NACH DEN KONDITIONEN DER RENAULT BANK
GESCHÄFTSBEREICH DER RCI BANQUE S.A. NIEDERLASSUNG DEUTSCHLAND
Um das Elektrofahrzeug bestimmungsgemäß nutzen zu können, benötigen Sie neben der Bestellung des Elektrofahrzeugs eine Antriebsbatterie. Das Elektrofahrzeug wird nur verkauft bei gleichzeitigem Abschluss eines Mietvertrags für die Antriebsbatterie mit der Renault Leasing. Die Batterie bedarf eines gesonderten Vertrages zur Batteriemiete und zugehörige Services mit der Renault Bank. Sie bleibt während der Mietdauer Eigentum der Renault Bank.
LADETECHNIK
Renault empfiehlt zur Vermeidung von Lade- und Elektronikrisiken beim Laden der Batterie die von Renault zertifizierte Ladeinfrastruktur sowie Ladeausrüstung (Ladestation, Kabel). Die nichtöffentliche Ladeausrüstung muss von einem qualifizierten Elektriker auf eigenen Kosten installiert werden.
RENAULT Z.E. ASSISTANCE
Bei der Renault Z.E. Assistance handelt es sich um eine Pannenhilfe inkl. Mobilitätslösung. Im Falle eines Energieausfalles werden Sie zu einem gewünschten Ladepunkt im Umkreis von bis zu 80 km abgeschleppt. In allen anderen Fällen werden Sie zur Diagnose zu einem Renault Z.E. Stützpunkt transportiert.
* Gutschrift bis max. 5.000 Minderkilometer. Keine Gutschrift bei Minderkilometer unterhalb der Mindestlaufleistung
von 10.000 km (Twizy 7.500 km).
http://typo3.p163919.mittwaldserver.info/fileadmin/user_upload/Broschuere_ZE-BOX_111215.pdf
http://typo3.p163919.mittwaldserver.info/fileadmin/user_upload/Broschuere_Erste_Fahrt_120206.pdf
</t>
        </r>
      </text>
    </comment>
    <comment ref="V152" authorId="0" shapeId="0" xr:uid="{00000000-0006-0000-0000-00001E000000}">
      <text>
        <r>
          <rPr>
            <sz val="9"/>
            <color indexed="81"/>
            <rFont val="Tahoma"/>
            <family val="2"/>
          </rPr>
          <t xml:space="preserve">RENAULT SERVICE-VERTRÄGE
Bei Kauf eines Neufahrzeugs haben Sie die Möglichkeit einen Service-Vertrag abzuschließen.
Drei verschiedene Produkte stehen Ihnen zur Auswahl:
• Renault Plus Garantie (Anschlussgarantie für die Renault Z.E. Modelle, bis zu 72 Monate bzw. 100.000 km)
• Renault Komfort Service LIGHT (Wartungsvertrag, bis zu 60 Monate bzw. 200.000 km)
• Renault Komfort Service (Wartungsvertrag, bis zu 60 Monate bzw. 200.000 km)
Zu den Preisen, Leistungen und allgemeinen Vertragsbedingungen dieser beruhigenden Serviceangebote, mit
denen Sie sich ganz individuell absichern können, wird Sie Ihr Renault Partner gerne beraten.
SERVICE-VERTRÄGE Preise EUR
Renault Plus Garantie (Anschlussgarantie zur Verlängerung der Herstellergarantie) inkl. MwSt.
- 36 Monate Laufzeit bis max. 50.000 km Laufleistung 289,–
- 48 Monate Laufzeit bis max. 60.000 km Laufleistung 430,–
- 36 Monate Laufzeit bis max. 90.000 km Laufleistung 410,–
- 48 Monate Laufzeit bis max. 100.000 km Laufleistung 546,–
- 60 Monate Laufzeit bis max. 100.000 km Laufleistung 670,–
- 72 Monate Laufzeit bis max. 100.000 km Laufleistung 896,–
Zwei weitere Produkte stehen Ihnen zur Auswahl:
• Renault Plus Garantie PLUS (Wartungsvertrag inkl. Anschlussgarantie, bis zu 60 Monate bzw. 200.000 km)
• Renault Komfort Service (Wartungsvertrag inkl. Anschlussgarantie und Verschleißarbeiten sowie HU bei Fälligkeit, bis zu 60 Monate bzw. 200.000 km)
Laufzeiten und Laufleistungen sind ab Erstzulassung gerechnet.
Zu den Preisen, Leistungen und allgemeinen Vertragsbedingungen dieser beruhigenden Serviceangebote, mit denen Sie sich ganz individuell absichern können, wird Sie Ihr Renault Partner gerne beraten.
Oder besuchen Sie uns auf www.renault.de
</t>
        </r>
      </text>
    </comment>
    <comment ref="Q153" authorId="0" shapeId="0" xr:uid="{00000000-0006-0000-0000-00001F000000}">
      <text>
        <r>
          <rPr>
            <sz val="9"/>
            <color indexed="81"/>
            <rFont val="Tahoma"/>
            <family val="2"/>
          </rPr>
          <t>65Ah
BATTERIE/LADESYSTEM
Batterietyp Lithium-Ionen
Gewicht der Batterie (kg) 260
Nennkapazität (kWh/Ah) 22/65
Anzahl der Zellen/Module/Blöcke 192/48/2
Nennspannung AC/DC (V) 230 bis 400
Stromverbrauch gewichtet, kombiniert (kWh/100 km) 15,5
Position der Batterie Unterfl ur, ohne Quickdrop-Funktion
Position des Ladeanschlusses Frontverkleidung
Standardladung5/Notladung6 230 V(AC)/16 A/1-phasig / 230 V(AC)/10 A/1-phasig
LADEDAUER (in Stunden)
0 % auf 100 % 8
0 % auf 50 % 3,5
50 % auf 100 % 4,5
20 % auf 80 % 4,5
Maximaler Stromverbrauch im 230 V-Netz (kW) 3
Typ Ladestecker Standardladung Fahrzeug: Yazaki J1772
Ladesäule/Wall Box: Mennekes Typ 2</t>
        </r>
      </text>
    </comment>
    <comment ref="U153" authorId="0" shapeId="0" xr:uid="{00000000-0006-0000-0000-000020000000}">
      <text>
        <r>
          <rPr>
            <sz val="9"/>
            <color indexed="81"/>
            <rFont val="Tahoma"/>
            <family val="2"/>
          </rPr>
          <t>PREISE DER BATTERIEMIETE 
Laufleistung (km/Jahr)        10.000 km                                   15.000 km                                   20.000 km                                  25.000 km                                 30.000 km
                                                           Preise EUR                                 Preise EUR                                Preise EUR                                Preise EUR                                Preise EUR1
Laufzeit                                        exkl. MwSt. inkl. MwSt.        exkl. MwSt. inkl. MwSt.        exkl. MwSt. inkl. MwSt.       exkl. MwSt. inkl. MwSt.      exkl. MwSt. inkl. MwSt.
12 Monate                                   92,– 109,48                                95,– 113,05                                 109,– 129,71                              125,– 148,75                            145,– 172,55
24 Monate                                  82,– 97,58                                  85,– 101,15                                   99,– 117,81                                115,– 136,85                             135,– 160,65
36 Monate                                  72,– 85,68                                  75,– 89,25                                   89,– 105,91                               105,– 124,95                            125,– 148,75
48 Monate                                  72,– 85,68                                  75,– 89,25                                   89,– 105,91                               105,– 124,95                             125,– 148,75
BATTERIE
 Monatliche Miete inkl. Renault Z.E. Assistance
Es wird ein Grenzwert für die Leistungsfähigkeit der Batterie von 75 % der zu Beginn vorhandenen Kapazität garantiert.
Für Mehrkilometer wird pro km ein Betrag von 4 ct. (exkl. MwSt.) bzw. 5 ct. (inkl. MwSt.) berechnet.
Für Minderkilometer erfolgt eine Gutschrift von 1,3 ct. (exkl. MwSt.) bzw. 1,7 ct. (inkl. MwSt.) pro km.
Weitere Laufzeit/Laufleistungskombinationen auf Anfrage möglich. Die Mindestlaufleistung beträgt 10.000 km.
VERTRAG ZUR BATTERIEMIETE UND ZUGEHÖRIGE SERVICES MIT DER RENAULT BANK, GESCHÄFTSBEREICH DER RCI BANQUE S.A. NIEDERLASSUNG DEUTSCHLAND
Um das Elektrofahrzeug bestimmungsgemäß nutzen zu können benötigen Sie neben der Bestellung des Elektrofahrzeuges eine Antriebsbatterie. Die Batterie bedarf eines
gesonderten Vertrages zur Batteriemiete und zugehörige Services mit der Renault Bank. Sie bleibt während der Mietdauer Eigentum der Renault Bank.
LADETECHNIK
Wir empfehlen zur Vermeidung von Lade- und Elektronikrisiken beim Laden der Batterie, die von uns zertifizierte Lade-Infrastruktur sowie Ladeausrüstung (Ladestation, Kabel)
zu benutzen. Die nichtöffentliche Ladeausrüstung muss von einem qualifizierten Elektriker auf eigenen Kosten installiert werden.
RENAULT Z.E. ASSISTANCE
Bei der Renault Z.E. Assistance handelt es sich um eine Pannenhilfe inkl. Mobilitätslösung. Im Falle eines Energieausfalles werden Sie zu einem gewünschten Ladepunkt im Umkreis
von bis zu 80 km abgeschleppt. In allen anderen Fällen werden Sie zur Diagnose zu einem Renault Z.E. Expert Händler transportiert.</t>
        </r>
      </text>
    </comment>
    <comment ref="V153" authorId="0" shapeId="0" xr:uid="{00000000-0006-0000-0000-000021000000}">
      <text>
        <r>
          <rPr>
            <sz val="9"/>
            <color indexed="81"/>
            <rFont val="Tahoma"/>
            <family val="2"/>
          </rPr>
          <t xml:space="preserve">SERVICE-VERTRÄGE Preise EUR für alle
Renault Plus Garantie Versionen (Anschlussgarantie, gerechnet ab Erstzulassung)       exkl. MwSt. inkl. MwSt.
- 36 Monate Laufzeit bis max. 50.000 km Laufleistung                                                                         233,61           278,–  
- 48 Monate Laufzeit bis max. 60.000 km Laufleistung                                                                         327,73          390,–  
- 36 Monate Laufzeit bis max. 90.000 km Laufleistung                                                                         302,52          360,–  
- 48 Monate Laufzeit bis max. 100.000 km Laufleistung                                                                       458,82          546,–  
- 60 Monate Laufzeit bis max. 100.000 km Laufleistung                                                                       596,64          710,–  
- 72 Monate Laufzeit bis max. 100.000 km Laufleistung                                                                       796,64          948,–  
Zwei weitere Produkte stehen Ihnen zur Auswahl:
• Renault Komfort Service LIGHT (Wartungsvertrag, bis zu 60 Monate bzw. 200.000 km)
• Renault Komfort Service (Wartungsvertrag, bis zu 60 Monate bzw. 200.000 km)
</t>
        </r>
      </text>
    </comment>
    <comment ref="Q154" authorId="0" shapeId="0" xr:uid="{00000000-0006-0000-0000-000022000000}">
      <text>
        <r>
          <rPr>
            <sz val="9"/>
            <color indexed="81"/>
            <rFont val="Tahoma"/>
            <family val="2"/>
          </rPr>
          <t>65Ah
BATTERIE/LADESYSTEM
Batterietyp Lithium-Ionen
Gewicht der Batterie (kg) 260
Nennkapazität (kWh/Ah) 22/65
Anzahl der Zellen/Module/Blöcke 192/48/2
Nennspannung AC/DC (V) 230 bis 400
Stromverbrauch gewichtet, kombiniert (kWh/100 km) 15,5
Position der Batterie Unterfl ur, ohne Quickdrop-Funktion
Position des Ladeanschlusses Frontverkleidung
Standardladung5/Notladung6 230 V(AC)/16 A/1-phasig / 230 V(AC)/10 A/1-phasig
LADEDAUER (in Stunden)
0 % auf 100 % 8
0 % auf 50 % 3,5
50 % auf 100 % 4,5
20 % auf 80 % 4,5
Maximaler Stromverbrauch im 230 V-Netz (kW) 3
Typ Ladestecker Standardladung Fahrzeug: Yazaki J1772
Ladesäule/Wall Box: Mennekes Typ 2</t>
        </r>
      </text>
    </comment>
    <comment ref="U154" authorId="0" shapeId="0" xr:uid="{00000000-0006-0000-0000-000023000000}">
      <text>
        <r>
          <rPr>
            <sz val="9"/>
            <color indexed="81"/>
            <rFont val="Tahoma"/>
            <family val="2"/>
          </rPr>
          <t>PREISE DER BATTERIEMIETE 
Laufleistung (km/Jahr)        10.000 km                                   15.000 km                                   20.000 km                                  25.000 km                                 30.000 km
                                                           Preise EUR                                 Preise EUR                                Preise EUR                                Preise EUR                                Preise EUR1
Laufzeit                                        exkl. MwSt. inkl. MwSt.        exkl. MwSt. inkl. MwSt.        exkl. MwSt. inkl. MwSt.       exkl. MwSt. inkl. MwSt.      exkl. MwSt. inkl. MwSt.
12 Monate                                   92,– 109,48                                95,– 113,05                                 109,– 129,71                              125,– 148,75                            145,– 172,55
24 Monate                                  82,– 97,58                                  85,– 101,15                                   99,– 117,81                                115,– 136,85                             135,– 160,65
36 Monate                                  72,– 85,68                                  75,– 89,25                                   89,– 105,91                               105,– 124,95                            125,– 148,75
48 Monate                                  72,– 85,68                                  75,– 89,25                                   89,– 105,91                               105,– 124,95                             125,– 148,75
BATTERIE
 Monatliche Miete inkl. Renault Z.E. Assistance
Es wird ein Grenzwert für die Leistungsfähigkeit der Batterie von 75 % der zu Beginn vorhandenen Kapazität garantiert.
Für Mehrkilometer wird pro km ein Betrag von 4 ct. (exkl. MwSt.) bzw. 5 ct. (inkl. MwSt.) berechnet.
Für Minderkilometer erfolgt eine Gutschrift von 1,3 ct. (exkl. MwSt.) bzw. 1,7 ct. (inkl. MwSt.) pro km.
Weitere Laufzeit/Laufleistungskombinationen auf Anfrage möglich. Die Mindestlaufleistung beträgt 10.000 km.
VERTRAG ZUR BATTERIEMIETE UND ZUGEHÖRIGE SERVICES MIT DER RENAULT BANK, GESCHÄFTSBEREICH DER RCI BANQUE S.A. NIEDERLASSUNG DEUTSCHLAND
Um das Elektrofahrzeug bestimmungsgemäß nutzen zu können benötigen Sie neben der Bestellung des Elektrofahrzeuges eine Antriebsbatterie. Die Batterie bedarf eines
gesonderten Vertrages zur Batteriemiete und zugehörige Services mit der Renault Bank. Sie bleibt während der Mietdauer Eigentum der Renault Bank.
LADETECHNIK
Wir empfehlen zur Vermeidung von Lade- und Elektronikrisiken beim Laden der Batterie, die von uns zertifizierte Lade-Infrastruktur sowie Ladeausrüstung (Ladestation, Kabel)
zu benutzen. Die nichtöffentliche Ladeausrüstung muss von einem qualifizierten Elektriker auf eigenen Kosten installiert werden.
RENAULT Z.E. ASSISTANCE
Bei der Renault Z.E. Assistance handelt es sich um eine Pannenhilfe inkl. Mobilitätslösung. Im Falle eines Energieausfalles werden Sie zu einem gewünschten Ladepunkt im Umkreis
von bis zu 80 km abgeschleppt. In allen anderen Fällen werden Sie zur Diagnose zu einem Renault Z.E. Expert Händler transportiert.</t>
        </r>
      </text>
    </comment>
    <comment ref="V154" authorId="0" shapeId="0" xr:uid="{00000000-0006-0000-0000-000024000000}">
      <text>
        <r>
          <rPr>
            <sz val="9"/>
            <color indexed="81"/>
            <rFont val="Tahoma"/>
            <family val="2"/>
          </rPr>
          <t xml:space="preserve">SERVICE-VERTRÄGE Preise EUR für alle
Renault Plus Garantie Versionen (Anschlussgarantie, gerechnet ab Erstzulassung)       exkl. MwSt. inkl. MwSt.
- 36 Monate Laufzeit bis max. 50.000 km Laufleistung                                                                         233,61           278,–  
- 48 Monate Laufzeit bis max. 60.000 km Laufleistung                                                                         327,73          390,–  
- 36 Monate Laufzeit bis max. 90.000 km Laufleistung                                                                         302,52          360,–  
- 48 Monate Laufzeit bis max. 100.000 km Laufleistung                                                                       458,82          546,–  
- 60 Monate Laufzeit bis max. 100.000 km Laufleistung                                                                       596,64          710,–  
- 72 Monate Laufzeit bis max. 100.000 km Laufleistung                                                                       796,64          948,–  
Zwei weitere Produkte stehen Ihnen zur Auswahl:
• Renault Komfort Service LIGHT (Wartungsvertrag, bis zu 60 Monate bzw. 200.000 km)
• Renault Komfort Service (Wartungsvertrag, bis zu 60 Monate bzw. 200.000 km)
</t>
        </r>
      </text>
    </comment>
    <comment ref="Q155" authorId="0" shapeId="0" xr:uid="{00000000-0006-0000-0000-000025000000}">
      <text>
        <r>
          <rPr>
            <sz val="9"/>
            <color indexed="81"/>
            <rFont val="Tahoma"/>
            <family val="2"/>
          </rPr>
          <t>65Ah
BATTERIE/LADESYSTEM
Batterietyp Lithium-Ionen
Gewicht der Batterie (kg) 260
Nennkapazität (kWh/Ah) 22/65
Anzahl der Zellen/Module/Blöcke 192/48/2
Nennspannung AC/DC (V) 230 bis 400
Stromverbrauch gewichtet, kombiniert (kWh/100 km) 15,5
Position der Batterie Unterfl ur, ohne Quickdrop-Funktion
Position des Ladeanschlusses Frontverkleidung
Standardladung5/Notladung6 230 V(AC)/16 A/1-phasig / 230 V(AC)/10 A/1-phasig
LADEDAUER (in Stunden)
0 % auf 100 % 8
0 % auf 50 % 3,5
50 % auf 100 % 4,5
20 % auf 80 % 4,5
Maximaler Stromverbrauch im 230 V-Netz (kW) 3
Typ Ladestecker Standardladung Fahrzeug: Yazaki J1772
Ladesäule/Wall Box: Mennekes Typ 2</t>
        </r>
      </text>
    </comment>
    <comment ref="U155" authorId="0" shapeId="0" xr:uid="{00000000-0006-0000-0000-000026000000}">
      <text>
        <r>
          <rPr>
            <sz val="9"/>
            <color indexed="81"/>
            <rFont val="Tahoma"/>
            <family val="2"/>
          </rPr>
          <t>PREISE DER BATTERIEMIETE 
Laufleistung (km/Jahr)        10.000 km                                   15.000 km                                   20.000 km                                  25.000 km                                 30.000 km
                                                           Preise EUR                                 Preise EUR                                Preise EUR                                Preise EUR                                Preise EUR1
Laufzeit                                        exkl. MwSt. inkl. MwSt.        exkl. MwSt. inkl. MwSt.        exkl. MwSt. inkl. MwSt.       exkl. MwSt. inkl. MwSt.      exkl. MwSt. inkl. MwSt.
12 Monate                                   92,– 109,48                                95,– 113,05                                 109,– 129,71                              125,– 148,75                            145,– 172,55
24 Monate                                  82,– 97,58                                  85,– 101,15                                   99,– 117,81                                115,– 136,85                             135,– 160,65
36 Monate                                  72,– 85,68                                  75,– 89,25                                   89,– 105,91                               105,– 124,95                            125,– 148,75
48 Monate                                  72,– 85,68                                  75,– 89,25                                   89,– 105,91                               105,– 124,95                             125,– 148,75
BATTERIE
 Monatliche Miete inkl. Renault Z.E. Assistance
Es wird ein Grenzwert für die Leistungsfähigkeit der Batterie von 75 % der zu Beginn vorhandenen Kapazität garantiert.
Für Mehrkilometer wird pro km ein Betrag von 4 ct. (exkl. MwSt.) bzw. 5 ct. (inkl. MwSt.) berechnet.
Für Minderkilometer erfolgt eine Gutschrift von 1,3 ct. (exkl. MwSt.) bzw. 1,7 ct. (inkl. MwSt.) pro km.
Weitere Laufzeit/Laufleistungskombinationen auf Anfrage möglich. Die Mindestlaufleistung beträgt 10.000 km.
VERTRAG ZUR BATTERIEMIETE UND ZUGEHÖRIGE SERVICES MIT DER RENAULT BANK, GESCHÄFTSBEREICH DER RCI BANQUE S.A. NIEDERLASSUNG DEUTSCHLAND
Um das Elektrofahrzeug bestimmungsgemäß nutzen zu können benötigen Sie neben der Bestellung des Elektrofahrzeuges eine Antriebsbatterie. Die Batterie bedarf eines
gesonderten Vertrages zur Batteriemiete und zugehörige Services mit der Renault Bank. Sie bleibt während der Mietdauer Eigentum der Renault Bank.
LADETECHNIK
Wir empfehlen zur Vermeidung von Lade- und Elektronikrisiken beim Laden der Batterie, die von uns zertifizierte Lade-Infrastruktur sowie Ladeausrüstung (Ladestation, Kabel)
zu benutzen. Die nichtöffentliche Ladeausrüstung muss von einem qualifizierten Elektriker auf eigenen Kosten installiert werden.
RENAULT Z.E. ASSISTANCE
Bei der Renault Z.E. Assistance handelt es sich um eine Pannenhilfe inkl. Mobilitätslösung. Im Falle eines Energieausfalles werden Sie zu einem gewünschten Ladepunkt im Umkreis
von bis zu 80 km abgeschleppt. In allen anderen Fällen werden Sie zur Diagnose zu einem Renault Z.E. Expert Händler transportiert.</t>
        </r>
      </text>
    </comment>
    <comment ref="V155" authorId="0" shapeId="0" xr:uid="{00000000-0006-0000-0000-000027000000}">
      <text>
        <r>
          <rPr>
            <sz val="9"/>
            <color indexed="81"/>
            <rFont val="Tahoma"/>
            <family val="2"/>
          </rPr>
          <t xml:space="preserve">SERVICE-VERTRÄGE Preise EUR für alle
Renault Plus Garantie Versionen (Anschlussgarantie, gerechnet ab Erstzulassung)       exkl. MwSt. inkl. MwSt.
- 36 Monate Laufzeit bis max. 50.000 km Laufleistung                                                                         233,61           278,–  
- 48 Monate Laufzeit bis max. 60.000 km Laufleistung                                                                         327,73          390,–  
- 36 Monate Laufzeit bis max. 90.000 km Laufleistung                                                                         302,52          360,–  
- 48 Monate Laufzeit bis max. 100.000 km Laufleistung                                                                       458,82          546,–  
- 60 Monate Laufzeit bis max. 100.000 km Laufleistung                                                                       596,64          710,–  
- 72 Monate Laufzeit bis max. 100.000 km Laufleistung                                                                       796,64          948,–  
Zwei weitere Produkte stehen Ihnen zur Auswahl:
• Renault Komfort Service LIGHT (Wartungsvertrag, bis zu 60 Monate bzw. 200.000 km)
• Renault Komfort Service (Wartungsvertrag, bis zu 60 Monate bzw. 200.000 km)
</t>
        </r>
      </text>
    </comment>
    <comment ref="Q156" authorId="0" shapeId="0" xr:uid="{00000000-0006-0000-0000-000028000000}">
      <text>
        <r>
          <rPr>
            <sz val="9"/>
            <color indexed="81"/>
            <rFont val="Tahoma"/>
            <family val="2"/>
          </rPr>
          <t>65Ah
BATTERIE/LADESYSTEM
Batterietyp Lithium-Ionen
Gewicht der Batterie (kg) 260
Nennkapazität (kWh/Ah) 22/65
Anzahl der Zellen/Module/Blöcke 192/48/2
Nennspannung AC/DC (V) 230 bis 400
Stromverbrauch gewichtet, kombiniert (kWh/100 km) 15,5
Position der Batterie Unterfl ur, ohne Quickdrop-Funktion
Position des Ladeanschlusses Frontverkleidung
Standardladung5/Notladung6 230 V(AC)/16 A/1-phasig / 230 V(AC)/10 A/1-phasig
LADEDAUER (in Stunden)
0 % auf 100 % 8
0 % auf 50 % 3,5
50 % auf 100 % 4,5
20 % auf 80 % 4,5
Maximaler Stromverbrauch im 230 V-Netz (kW) 3
Typ Ladestecker Standardladung Fahrzeug: Yazaki J1772
Ladesäule/Wall Box: Mennekes Typ 2</t>
        </r>
      </text>
    </comment>
    <comment ref="U156" authorId="0" shapeId="0" xr:uid="{00000000-0006-0000-0000-000029000000}">
      <text>
        <r>
          <rPr>
            <sz val="9"/>
            <color indexed="81"/>
            <rFont val="Tahoma"/>
            <family val="2"/>
          </rPr>
          <t>PREISE DER BATTERIEMIETE 
Laufleistung (km/Jahr)        10.000 km                                   15.000 km                                   20.000 km                                  25.000 km                                 30.000 km
                                                           Preise EUR                                 Preise EUR                                Preise EUR                                Preise EUR                                Preise EUR1
Laufzeit                                        exkl. MwSt. inkl. MwSt.        exkl. MwSt. inkl. MwSt.        exkl. MwSt. inkl. MwSt.       exkl. MwSt. inkl. MwSt.      exkl. MwSt. inkl. MwSt.
12 Monate                                   92,– 109,48                                95,– 113,05                                 109,– 129,71                              125,– 148,75                            145,– 172,55
24 Monate                                  82,– 97,58                                  85,– 101,15                                   99,– 117,81                                115,– 136,85                             135,– 160,65
36 Monate                                  72,– 85,68                                  75,– 89,25                                   89,– 105,91                               105,– 124,95                            125,– 148,75
48 Monate                                  72,– 85,68                                  75,– 89,25                                   89,– 105,91                               105,– 124,95                             125,– 148,75
BATTERIE
 Monatliche Miete inkl. Renault Z.E. Assistance
Es wird ein Grenzwert für die Leistungsfähigkeit der Batterie von 75 % der zu Beginn vorhandenen Kapazität garantiert.
Für Mehrkilometer wird pro km ein Betrag von 4 ct. (exkl. MwSt.) bzw. 5 ct. (inkl. MwSt.) berechnet.
Für Minderkilometer erfolgt eine Gutschrift von 1,3 ct. (exkl. MwSt.) bzw. 1,7 ct. (inkl. MwSt.) pro km.
Weitere Laufzeit/Laufleistungskombinationen auf Anfrage möglich. Die Mindestlaufleistung beträgt 10.000 km.
VERTRAG ZUR BATTERIEMIETE UND ZUGEHÖRIGE SERVICES MIT DER RENAULT BANK, GESCHÄFTSBEREICH DER RCI BANQUE S.A. NIEDERLASSUNG DEUTSCHLAND
Um das Elektrofahrzeug bestimmungsgemäß nutzen zu können benötigen Sie neben der Bestellung des Elektrofahrzeuges eine Antriebsbatterie. Die Batterie bedarf eines
gesonderten Vertrages zur Batteriemiete und zugehörige Services mit der Renault Bank. Sie bleibt während der Mietdauer Eigentum der Renault Bank.
LADETECHNIK
Wir empfehlen zur Vermeidung von Lade- und Elektronikrisiken beim Laden der Batterie, die von uns zertifizierte Lade-Infrastruktur sowie Ladeausrüstung (Ladestation, Kabel)
zu benutzen. Die nichtöffentliche Ladeausrüstung muss von einem qualifizierten Elektriker auf eigenen Kosten installiert werden.
RENAULT Z.E. ASSISTANCE
Bei der Renault Z.E. Assistance handelt es sich um eine Pannenhilfe inkl. Mobilitätslösung. Im Falle eines Energieausfalles werden Sie zu einem gewünschten Ladepunkt im Umkreis
von bis zu 80 km abgeschleppt. In allen anderen Fällen werden Sie zur Diagnose zu einem Renault Z.E. Expert Händler transportiert.</t>
        </r>
      </text>
    </comment>
    <comment ref="V156" authorId="0" shapeId="0" xr:uid="{00000000-0006-0000-0000-00002A000000}">
      <text>
        <r>
          <rPr>
            <sz val="9"/>
            <color indexed="81"/>
            <rFont val="Tahoma"/>
            <family val="2"/>
          </rPr>
          <t xml:space="preserve">SERVICE-VERTRÄGE Preise EUR für alle
Renault Plus Garantie Versionen (Anschlussgarantie, gerechnet ab Erstzulassung)       exkl. MwSt. inkl. MwSt.
- 36 Monate Laufzeit bis max. 50.000 km Laufleistung                                                                         233,61           278,–  
- 48 Monate Laufzeit bis max. 60.000 km Laufleistung                                                                         327,73          390,–  
- 36 Monate Laufzeit bis max. 90.000 km Laufleistung                                                                         302,52          360,–  
- 48 Monate Laufzeit bis max. 100.000 km Laufleistung                                                                       458,82          546,–  
- 60 Monate Laufzeit bis max. 100.000 km Laufleistung                                                                       596,64          710,–  
- 72 Monate Laufzeit bis max. 100.000 km Laufleistung                                                                       796,64          948,–  
Zwei weitere Produkte stehen Ihnen zur Auswahl:
• Renault Komfort Service LIGHT (Wartungsvertrag, bis zu 60 Monate bzw. 200.000 km)
• Renault Komfort Service (Wartungsvertrag, bis zu 60 Monate bzw. 200.000 km)
</t>
        </r>
      </text>
    </comment>
    <comment ref="Q157" authorId="0" shapeId="0" xr:uid="{00000000-0006-0000-0000-00002B000000}">
      <text>
        <r>
          <rPr>
            <sz val="9"/>
            <color indexed="81"/>
            <rFont val="Tahoma"/>
            <family val="2"/>
          </rPr>
          <t>65Ah
BATTERIE/LADESYSTEM
Batterietyp Lithium-Ionen
Gewicht der Batterie (kg) 260
Nennkapazität (kWh/Ah) 22/65
Anzahl der Zellen/Module/Blöcke 192/48/2
Nennspannung AC/DC (V) 230 bis 400
Stromverbrauch gewichtet, kombiniert (kWh/100 km) 15,5
Position der Batterie Unterfl ur, ohne Quickdrop-Funktion
Position des Ladeanschlusses Frontverkleidung
Standardladung5/Notladung6 230 V(AC)/16 A/1-phasig / 230 V(AC)/10 A/1-phasig
LADEDAUER (in Stunden)
0 % auf 100 % 8
0 % auf 50 % 3,5
50 % auf 100 % 4,5
20 % auf 80 % 4,5
Maximaler Stromverbrauch im 230 V-Netz (kW) 3
Typ Ladestecker Standardladung Fahrzeug: Yazaki J1772
Ladesäule/Wall Box: Mennekes Typ 2</t>
        </r>
      </text>
    </comment>
    <comment ref="U157" authorId="0" shapeId="0" xr:uid="{00000000-0006-0000-0000-00002C000000}">
      <text>
        <r>
          <rPr>
            <sz val="9"/>
            <color indexed="81"/>
            <rFont val="Tahoma"/>
            <family val="2"/>
          </rPr>
          <t>PREISE DER BATTERIEMIETE 
Laufleistung (km/Jahr)        10.000 km                                   15.000 km                                   20.000 km                                  25.000 km                                 30.000 km
                                                           Preise EUR                                 Preise EUR                                Preise EUR                                Preise EUR                                Preise EUR1
Laufzeit                                        exkl. MwSt. inkl. MwSt.        exkl. MwSt. inkl. MwSt.        exkl. MwSt. inkl. MwSt.       exkl. MwSt. inkl. MwSt.      exkl. MwSt. inkl. MwSt.
12 Monate                                   92,– 109,48                                95,– 113,05                                 109,– 129,71                              125,– 148,75                            145,– 172,55
24 Monate                                  82,– 97,58                                  85,– 101,15                                   99,– 117,81                                115,– 136,85                             135,– 160,65
36 Monate                                  72,– 85,68                                  75,– 89,25                                   89,– 105,91                               105,– 124,95                            125,– 148,75
48 Monate                                  72,– 85,68                                  75,– 89,25                                   89,– 105,91                               105,– 124,95                             125,– 148,75
BATTERIE
 Monatliche Miete inkl. Renault Z.E. Assistance
Es wird ein Grenzwert für die Leistungsfähigkeit der Batterie von 75 % der zu Beginn vorhandenen Kapazität garantiert.
Für Mehrkilometer wird pro km ein Betrag von 4 ct. (exkl. MwSt.) bzw. 5 ct. (inkl. MwSt.) berechnet.
Für Minderkilometer erfolgt eine Gutschrift von 1,3 ct. (exkl. MwSt.) bzw. 1,7 ct. (inkl. MwSt.) pro km.
Weitere Laufzeit/Laufleistungskombinationen auf Anfrage möglich. Die Mindestlaufleistung beträgt 10.000 km.
VERTRAG ZUR BATTERIEMIETE UND ZUGEHÖRIGE SERVICES MIT DER RENAULT BANK, GESCHÄFTSBEREICH DER RCI BANQUE S.A. NIEDERLASSUNG DEUTSCHLAND
Um das Elektrofahrzeug bestimmungsgemäß nutzen zu können benötigen Sie neben der Bestellung des Elektrofahrzeuges eine Antriebsbatterie. Die Batterie bedarf eines
gesonderten Vertrages zur Batteriemiete und zugehörige Services mit der Renault Bank. Sie bleibt während der Mietdauer Eigentum der Renault Bank.
LADETECHNIK
Wir empfehlen zur Vermeidung von Lade- und Elektronikrisiken beim Laden der Batterie, die von uns zertifizierte Lade-Infrastruktur sowie Ladeausrüstung (Ladestation, Kabel)
zu benutzen. Die nichtöffentliche Ladeausrüstung muss von einem qualifizierten Elektriker auf eigenen Kosten installiert werden.
RENAULT Z.E. ASSISTANCE
Bei der Renault Z.E. Assistance handelt es sich um eine Pannenhilfe inkl. Mobilitätslösung. Im Falle eines Energieausfalles werden Sie zu einem gewünschten Ladepunkt im Umkreis
von bis zu 80 km abgeschleppt. In allen anderen Fällen werden Sie zur Diagnose zu einem Renault Z.E. Expert Händler transportiert.</t>
        </r>
      </text>
    </comment>
    <comment ref="V157" authorId="0" shapeId="0" xr:uid="{00000000-0006-0000-0000-00002D000000}">
      <text>
        <r>
          <rPr>
            <sz val="9"/>
            <color indexed="81"/>
            <rFont val="Tahoma"/>
            <family val="2"/>
          </rPr>
          <t xml:space="preserve">SERVICE-VERTRÄGE Preise EUR für alle
Renault Plus Garantie Versionen (Anschlussgarantie, gerechnet ab Erstzulassung)       exkl. MwSt. inkl. MwSt.
- 36 Monate Laufzeit bis max. 50.000 km Laufleistung                                                                         233,61           278,–  
- 48 Monate Laufzeit bis max. 60.000 km Laufleistung                                                                         327,73          390,–  
- 36 Monate Laufzeit bis max. 90.000 km Laufleistung                                                                         302,52          360,–  
- 48 Monate Laufzeit bis max. 100.000 km Laufleistung                                                                       458,82          546,–  
- 60 Monate Laufzeit bis max. 100.000 km Laufleistung                                                                       596,64          710,–  
- 72 Monate Laufzeit bis max. 100.000 km Laufleistung                                                                       796,64          948,–  
Zwei weitere Produkte stehen Ihnen zur Auswahl:
• Renault Komfort Service LIGHT (Wartungsvertrag, bis zu 60 Monate bzw. 200.000 km)
• Renault Komfort Service (Wartungsvertrag, bis zu 60 Monate bzw. 200.000 km)
</t>
        </r>
      </text>
    </comment>
    <comment ref="Q158" authorId="0" shapeId="0" xr:uid="{00000000-0006-0000-0000-00002E000000}">
      <text>
        <r>
          <rPr>
            <sz val="9"/>
            <color indexed="81"/>
            <rFont val="Tahoma"/>
            <family val="2"/>
          </rPr>
          <t>65Ah
BATTERIE/LADESYSTEM
Batterietyp Lithium-Ionen
Gewicht der Batterie (kg) 260
Nennkapazität (kWh/Ah) 22/65
Anzahl der Zellen/Module/Blöcke 192/48/2
Nennspannung AC/DC (V) 230 bis 400
Stromverbrauch gewichtet, kombiniert (kWh/100 km) 15,5
Position der Batterie Unterfl ur, ohne Quickdrop-Funktion
Position des Ladeanschlusses Frontverkleidung
Standardladung5/Notladung6 230 V(AC)/16 A/1-phasig / 230 V(AC)/10 A/1-phasig
LADEDAUER (in Stunden)
0 % auf 100 % 8
0 % auf 50 % 3,5
50 % auf 100 % 4,5
20 % auf 80 % 4,5
Maximaler Stromverbrauch im 230 V-Netz (kW) 3
Typ Ladestecker Standardladung Fahrzeug: Yazaki J1772
Ladesäule/Wall Box: Mennekes Typ 2</t>
        </r>
      </text>
    </comment>
    <comment ref="U158" authorId="0" shapeId="0" xr:uid="{00000000-0006-0000-0000-00002F000000}">
      <text>
        <r>
          <rPr>
            <sz val="9"/>
            <color indexed="81"/>
            <rFont val="Tahoma"/>
            <family val="2"/>
          </rPr>
          <t>PREISE DER BATTERIEMIETE 
Laufleistung (km/Jahr)        10.000 km                                   15.000 km                                   20.000 km                                  25.000 km                                 30.000 km
                                                           Preise EUR                                 Preise EUR                                Preise EUR                                Preise EUR                                Preise EUR1
Laufzeit                                        exkl. MwSt. inkl. MwSt.        exkl. MwSt. inkl. MwSt.        exkl. MwSt. inkl. MwSt.       exkl. MwSt. inkl. MwSt.      exkl. MwSt. inkl. MwSt.
12 Monate                                   92,– 109,48                                95,– 113,05                                 109,– 129,71                              125,– 148,75                            145,– 172,55
24 Monate                                  82,– 97,58                                  85,– 101,15                                   99,– 117,81                                115,– 136,85                             135,– 160,65
36 Monate                                  72,– 85,68                                  75,– 89,25                                   89,– 105,91                               105,– 124,95                            125,– 148,75
48 Monate                                  72,– 85,68                                  75,– 89,25                                   89,– 105,91                               105,– 124,95                             125,– 148,75
BATTERIE
 Monatliche Miete inkl. Renault Z.E. Assistance
Es wird ein Grenzwert für die Leistungsfähigkeit der Batterie von 75 % der zu Beginn vorhandenen Kapazität garantiert.
Für Mehrkilometer wird pro km ein Betrag von 4 ct. (exkl. MwSt.) bzw. 5 ct. (inkl. MwSt.) berechnet.
Für Minderkilometer erfolgt eine Gutschrift von 1,3 ct. (exkl. MwSt.) bzw. 1,7 ct. (inkl. MwSt.) pro km.
Weitere Laufzeit/Laufleistungskombinationen auf Anfrage möglich. Die Mindestlaufleistung beträgt 10.000 km.
VERTRAG ZUR BATTERIEMIETE UND ZUGEHÖRIGE SERVICES MIT DER RENAULT BANK, GESCHÄFTSBEREICH DER RCI BANQUE S.A. NIEDERLASSUNG DEUTSCHLAND
Um das Elektrofahrzeug bestimmungsgemäß nutzen zu können benötigen Sie neben der Bestellung des Elektrofahrzeuges eine Antriebsbatterie. Die Batterie bedarf eines
gesonderten Vertrages zur Batteriemiete und zugehörige Services mit der Renault Bank. Sie bleibt während der Mietdauer Eigentum der Renault Bank.
LADETECHNIK
Wir empfehlen zur Vermeidung von Lade- und Elektronikrisiken beim Laden der Batterie, die von uns zertifizierte Lade-Infrastruktur sowie Ladeausrüstung (Ladestation, Kabel)
zu benutzen. Die nichtöffentliche Ladeausrüstung muss von einem qualifizierten Elektriker auf eigenen Kosten installiert werden.
RENAULT Z.E. ASSISTANCE
Bei der Renault Z.E. Assistance handelt es sich um eine Pannenhilfe inkl. Mobilitätslösung. Im Falle eines Energieausfalles werden Sie zu einem gewünschten Ladepunkt im Umkreis
von bis zu 80 km abgeschleppt. In allen anderen Fällen werden Sie zur Diagnose zu einem Renault Z.E. Expert Händler transportiert.</t>
        </r>
      </text>
    </comment>
    <comment ref="V158" authorId="0" shapeId="0" xr:uid="{00000000-0006-0000-0000-000030000000}">
      <text>
        <r>
          <rPr>
            <sz val="9"/>
            <color indexed="81"/>
            <rFont val="Tahoma"/>
            <family val="2"/>
          </rPr>
          <t xml:space="preserve">SERVICE-VERTRÄGE Preise EUR für alle
Renault Plus Garantie Versionen (Anschlussgarantie, gerechnet ab Erstzulassung)       exkl. MwSt. inkl. MwSt.
- 36 Monate Laufzeit bis max. 50.000 km Laufleistung                                                                         233,61           278,–  
- 48 Monate Laufzeit bis max. 60.000 km Laufleistung                                                                         327,73          390,–  
- 36 Monate Laufzeit bis max. 90.000 km Laufleistung                                                                         302,52          360,–  
- 48 Monate Laufzeit bis max. 100.000 km Laufleistung                                                                       458,82          546,–  
- 60 Monate Laufzeit bis max. 100.000 km Laufleistung                                                                       596,64          710,–  
- 72 Monate Laufzeit bis max. 100.000 km Laufleistung                                                                       796,64          948,–  
Zwei weitere Produkte stehen Ihnen zur Auswahl:
• Renault Komfort Service LIGHT (Wartungsvertrag, bis zu 60 Monate bzw. 200.000 km)
• Renault Komfort Service (Wartungsvertrag, bis zu 60 Monate bzw. 200.000 km)
</t>
        </r>
      </text>
    </comment>
    <comment ref="Q159" authorId="0" shapeId="0" xr:uid="{00000000-0006-0000-0000-000031000000}">
      <text>
        <r>
          <rPr>
            <sz val="9"/>
            <color indexed="81"/>
            <rFont val="Tahoma"/>
            <family val="2"/>
          </rPr>
          <t>65Ah
BATTERIE/LADESYSTEM
Batterietyp Lithium-Ionen
Gewicht der Batterie (kg) 260
Nennkapazität (kWh/Ah) 22/65
Anzahl der Zellen/Module/Blöcke 192/48/2
Nennspannung AC/DC (V) 230 bis 400
Stromverbrauch gewichtet, kombiniert (kWh/100 km) 15,5
Position der Batterie Unterfl ur, ohne Quickdrop-Funktion
Position des Ladeanschlusses Frontverkleidung
Standardladung5/Notladung6 230 V(AC)/16 A/1-phasig / 230 V(AC)/10 A/1-phasig
LADEDAUER (in Stunden)
0 % auf 100 % 8
0 % auf 50 % 3,5
50 % auf 100 % 4,5
20 % auf 80 % 4,5
Maximaler Stromverbrauch im 230 V-Netz (kW) 3
Typ Ladestecker Standardladung Fahrzeug: Yazaki J1772
Ladesäule/Wall Box: Mennekes Typ 2</t>
        </r>
      </text>
    </comment>
    <comment ref="U159" authorId="0" shapeId="0" xr:uid="{00000000-0006-0000-0000-000032000000}">
      <text>
        <r>
          <rPr>
            <sz val="9"/>
            <color indexed="81"/>
            <rFont val="Tahoma"/>
            <family val="2"/>
          </rPr>
          <t>PREISE DER BATTERIEMIETE 
Laufleistung (km/Jahr)        10.000 km                                   15.000 km                                   20.000 km                                  25.000 km                                 30.000 km
                                                           Preise EUR                                 Preise EUR                                Preise EUR                                Preise EUR                                Preise EUR1
Laufzeit                                        exkl. MwSt. inkl. MwSt.        exkl. MwSt. inkl. MwSt.        exkl. MwSt. inkl. MwSt.       exkl. MwSt. inkl. MwSt.      exkl. MwSt. inkl. MwSt.
12 Monate                                   92,– 109,48                                95,– 113,05                                 109,– 129,71                              125,– 148,75                            145,– 172,55
24 Monate                                  82,– 97,58                                  85,– 101,15                                   99,– 117,81                                115,– 136,85                             135,– 160,65
36 Monate                                  72,– 85,68                                  75,– 89,25                                   89,– 105,91                               105,– 124,95                            125,– 148,75
48 Monate                                  72,– 85,68                                  75,– 89,25                                   89,– 105,91                               105,– 124,95                             125,– 148,75
BATTERIE
 Monatliche Miete inkl. Renault Z.E. Assistance
Es wird ein Grenzwert für die Leistungsfähigkeit der Batterie von 75 % der zu Beginn vorhandenen Kapazität garantiert.
Für Mehrkilometer wird pro km ein Betrag von 4 ct. (exkl. MwSt.) bzw. 5 ct. (inkl. MwSt.) berechnet.
Für Minderkilometer erfolgt eine Gutschrift von 1,3 ct. (exkl. MwSt.) bzw. 1,7 ct. (inkl. MwSt.) pro km.
Weitere Laufzeit/Laufleistungskombinationen auf Anfrage möglich. Die Mindestlaufleistung beträgt 10.000 km.
VERTRAG ZUR BATTERIEMIETE UND ZUGEHÖRIGE SERVICES MIT DER RENAULT BANK, GESCHÄFTSBEREICH DER RCI BANQUE S.A. NIEDERLASSUNG DEUTSCHLAND
Um das Elektrofahrzeug bestimmungsgemäß nutzen zu können benötigen Sie neben der Bestellung des Elektrofahrzeuges eine Antriebsbatterie. Die Batterie bedarf eines
gesonderten Vertrages zur Batteriemiete und zugehörige Services mit der Renault Bank. Sie bleibt während der Mietdauer Eigentum der Renault Bank.
LADETECHNIK
Wir empfehlen zur Vermeidung von Lade- und Elektronikrisiken beim Laden der Batterie, die von uns zertifizierte Lade-Infrastruktur sowie Ladeausrüstung (Ladestation, Kabel)
zu benutzen. Die nichtöffentliche Ladeausrüstung muss von einem qualifizierten Elektriker auf eigenen Kosten installiert werden.
RENAULT Z.E. ASSISTANCE
Bei der Renault Z.E. Assistance handelt es sich um eine Pannenhilfe inkl. Mobilitätslösung. Im Falle eines Energieausfalles werden Sie zu einem gewünschten Ladepunkt im Umkreis
von bis zu 80 km abgeschleppt. In allen anderen Fällen werden Sie zur Diagnose zu einem Renault Z.E. Expert Händler transportiert.</t>
        </r>
      </text>
    </comment>
    <comment ref="V159" authorId="0" shapeId="0" xr:uid="{00000000-0006-0000-0000-000033000000}">
      <text>
        <r>
          <rPr>
            <sz val="9"/>
            <color indexed="81"/>
            <rFont val="Tahoma"/>
            <family val="2"/>
          </rPr>
          <t xml:space="preserve">SERVICE-VERTRÄGE Preise EUR für alle
Renault Plus Garantie Versionen (Anschlussgarantie, gerechnet ab Erstzulassung)       exkl. MwSt. inkl. MwSt.
- 36 Monate Laufzeit bis max. 50.000 km Laufleistung                                                                         233,61           278,–  
- 48 Monate Laufzeit bis max. 60.000 km Laufleistung                                                                         327,73          390,–  
- 36 Monate Laufzeit bis max. 90.000 km Laufleistung                                                                         302,52          360,–  
- 48 Monate Laufzeit bis max. 100.000 km Laufleistung                                                                       458,82          546,–  
- 60 Monate Laufzeit bis max. 100.000 km Laufleistung                                                                       596,64          710,–  
- 72 Monate Laufzeit bis max. 100.000 km Laufleistung                                                                       796,64          948,–  
Zwei weitere Produkte stehen Ihnen zur Auswahl:
• Renault Komfort Service LIGHT (Wartungsvertrag, bis zu 60 Monate bzw. 200.000 km)
• Renault Komfort Service (Wartungsvertrag, bis zu 60 Monate bzw. 200.000 km)
</t>
        </r>
      </text>
    </comment>
    <comment ref="Q160" authorId="0" shapeId="0" xr:uid="{00000000-0006-0000-0000-000034000000}">
      <text>
        <r>
          <rPr>
            <sz val="9"/>
            <color indexed="81"/>
            <rFont val="Tahoma"/>
            <family val="2"/>
          </rPr>
          <t>65Ah
BATTERIE/LADESYSTEM
Batterietyp Lithium-Ionen
Gewicht der Batterie (kg) 260
Nennkapazität (kWh/Ah) 22/65
Anzahl der Zellen/Module/Blöcke 192/48/2
Nennspannung AC/DC (V) 230 bis 400
Stromverbrauch gewichtet, kombiniert (kWh/100 km) 15,5
Position der Batterie Unterfl ur, ohne Quickdrop-Funktion
Position des Ladeanschlusses Frontverkleidung
Standardladung5/Notladung6 230 V(AC)/16 A/1-phasig / 230 V(AC)/10 A/1-phasig
LADEDAUER (in Stunden)
0 % auf 100 % 8
0 % auf 50 % 3,5
50 % auf 100 % 4,5
20 % auf 80 % 4,5
Maximaler Stromverbrauch im 230 V-Netz (kW) 3
Typ Ladestecker Standardladung Fahrzeug: Yazaki J1772
Ladesäule/Wall Box: Mennekes Typ 2</t>
        </r>
      </text>
    </comment>
    <comment ref="U160" authorId="0" shapeId="0" xr:uid="{00000000-0006-0000-0000-000035000000}">
      <text>
        <r>
          <rPr>
            <sz val="9"/>
            <color indexed="81"/>
            <rFont val="Tahoma"/>
            <family val="2"/>
          </rPr>
          <t>PREISE DER BATTERIEMIETE 
Laufleistung (km/Jahr)        10.000 km                                   15.000 km                                   20.000 km                                  25.000 km                                 30.000 km
                                                           Preise EUR                                 Preise EUR                                Preise EUR                                Preise EUR                                Preise EUR1
Laufzeit                                        exkl. MwSt. inkl. MwSt.        exkl. MwSt. inkl. MwSt.        exkl. MwSt. inkl. MwSt.       exkl. MwSt. inkl. MwSt.      exkl. MwSt. inkl. MwSt.
12 Monate                                   92,– 109,48                                95,– 113,05                                 109,– 129,71                              125,– 148,75                            145,– 172,55
24 Monate                                  82,– 97,58                                  85,– 101,15                                   99,– 117,81                                115,– 136,85                             135,– 160,65
36 Monate                                  72,– 85,68                                  75,– 89,25                                   89,– 105,91                               105,– 124,95                            125,– 148,75
48 Monate                                  72,– 85,68                                  75,– 89,25                                   89,– 105,91                               105,– 124,95                             125,– 148,75
BATTERIE
 Monatliche Miete inkl. Renault Z.E. Assistance
Es wird ein Grenzwert für die Leistungsfähigkeit der Batterie von 75 % der zu Beginn vorhandenen Kapazität garantiert.
Für Mehrkilometer wird pro km ein Betrag von 4 ct. (exkl. MwSt.) bzw. 5 ct. (inkl. MwSt.) berechnet.
Für Minderkilometer erfolgt eine Gutschrift von 1,3 ct. (exkl. MwSt.) bzw. 1,7 ct. (inkl. MwSt.) pro km.
Weitere Laufzeit/Laufleistungskombinationen auf Anfrage möglich. Die Mindestlaufleistung beträgt 10.000 km.
VERTRAG ZUR BATTERIEMIETE UND ZUGEHÖRIGE SERVICES MIT DER RENAULT BANK, GESCHÄFTSBEREICH DER RCI BANQUE S.A. NIEDERLASSUNG DEUTSCHLAND
Um das Elektrofahrzeug bestimmungsgemäß nutzen zu können benötigen Sie neben der Bestellung des Elektrofahrzeuges eine Antriebsbatterie. Die Batterie bedarf eines
gesonderten Vertrages zur Batteriemiete und zugehörige Services mit der Renault Bank. Sie bleibt während der Mietdauer Eigentum der Renault Bank.
LADETECHNIK
Wir empfehlen zur Vermeidung von Lade- und Elektronikrisiken beim Laden der Batterie, die von uns zertifizierte Lade-Infrastruktur sowie Ladeausrüstung (Ladestation, Kabel)
zu benutzen. Die nichtöffentliche Ladeausrüstung muss von einem qualifizierten Elektriker auf eigenen Kosten installiert werden.
RENAULT Z.E. ASSISTANCE
Bei der Renault Z.E. Assistance handelt es sich um eine Pannenhilfe inkl. Mobilitätslösung. Im Falle eines Energieausfalles werden Sie zu einem gewünschten Ladepunkt im Umkreis
von bis zu 80 km abgeschleppt. In allen anderen Fällen werden Sie zur Diagnose zu einem Renault Z.E. Expert Händler transportiert.</t>
        </r>
      </text>
    </comment>
    <comment ref="V160" authorId="0" shapeId="0" xr:uid="{00000000-0006-0000-0000-000036000000}">
      <text>
        <r>
          <rPr>
            <sz val="9"/>
            <color indexed="81"/>
            <rFont val="Tahoma"/>
            <family val="2"/>
          </rPr>
          <t xml:space="preserve">SERVICE-VERTRÄGE Preise EUR für alle
Renault Plus Garantie Versionen (Anschlussgarantie, gerechnet ab Erstzulassung)       exkl. MwSt. inkl. MwSt.
- 36 Monate Laufzeit bis max. 50.000 km Laufleistung                                                                         233,61           278,–  
- 48 Monate Laufzeit bis max. 60.000 km Laufleistung                                                                         327,73          390,–  
- 36 Monate Laufzeit bis max. 90.000 km Laufleistung                                                                         302,52          360,–  
- 48 Monate Laufzeit bis max. 100.000 km Laufleistung                                                                       458,82          546,–  
- 60 Monate Laufzeit bis max. 100.000 km Laufleistung                                                                       596,64          710,–  
- 72 Monate Laufzeit bis max. 100.000 km Laufleistung                                                                       796,64          948,–  
Zwei weitere Produkte stehen Ihnen zur Auswahl:
• Renault Komfort Service LIGHT (Wartungsvertrag, bis zu 60 Monate bzw. 200.000 km)
• Renault Komfort Service (Wartungsvertrag, bis zu 60 Monate bzw. 200.000 km)
</t>
        </r>
      </text>
    </comment>
    <comment ref="Q161" authorId="0" shapeId="0" xr:uid="{00000000-0006-0000-0000-000037000000}">
      <text>
        <r>
          <rPr>
            <sz val="9"/>
            <color indexed="81"/>
            <rFont val="Tahoma"/>
            <family val="2"/>
          </rPr>
          <t>65Ah
BATTERIE/LADESYSTEM
Batterietyp Lithium-Ionen
Gewicht der Batterie (kg) 260
Nennkapazität (kWh/Ah) 22/65
Anzahl der Zellen/Module/Blöcke 192/48/2
Nennspannung AC/DC (V) 230 bis 400
Stromverbrauch gewichtet, kombiniert (kWh/100 km) 15,5
Position der Batterie Unterfl ur, ohne Quickdrop-Funktion
Position des Ladeanschlusses Frontverkleidung
Standardladung5/Notladung6 230 V(AC)/16 A/1-phasig / 230 V(AC)/10 A/1-phasig
LADEDAUER (in Stunden)
0 % auf 100 % 8
0 % auf 50 % 3,5
50 % auf 100 % 4,5
20 % auf 80 % 4,5
Maximaler Stromverbrauch im 230 V-Netz (kW) 3
Typ Ladestecker Standardladung Fahrzeug: Yazaki J1772
Ladesäule/Wall Box: Mennekes Typ 2</t>
        </r>
      </text>
    </comment>
    <comment ref="U161" authorId="0" shapeId="0" xr:uid="{00000000-0006-0000-0000-000038000000}">
      <text>
        <r>
          <rPr>
            <sz val="9"/>
            <color indexed="81"/>
            <rFont val="Tahoma"/>
            <family val="2"/>
          </rPr>
          <t>PREISE DER BATTERIEMIETE 
Laufleistung (km/Jahr)        10.000 km                                   15.000 km                                   20.000 km                                  25.000 km                                 30.000 km
                                                           Preise EUR                                 Preise EUR                                Preise EUR                                Preise EUR                                Preise EUR1
Laufzeit                                        exkl. MwSt. inkl. MwSt.        exkl. MwSt. inkl. MwSt.        exkl. MwSt. inkl. MwSt.       exkl. MwSt. inkl. MwSt.      exkl. MwSt. inkl. MwSt.
12 Monate                                   92,– 109,48                                95,– 113,05                                 109,– 129,71                              125,– 148,75                            145,– 172,55
24 Monate                                  82,– 97,58                                  85,– 101,15                                   99,– 117,81                                115,– 136,85                             135,– 160,65
36 Monate                                  72,– 85,68                                  75,– 89,25                                   89,– 105,91                               105,– 124,95                            125,– 148,75
48 Monate                                  72,– 85,68                                  75,– 89,25                                   89,– 105,91                               105,– 124,95                             125,– 148,75
BATTERIE
 Monatliche Miete inkl. Renault Z.E. Assistance
Es wird ein Grenzwert für die Leistungsfähigkeit der Batterie von 75 % der zu Beginn vorhandenen Kapazität garantiert.
Für Mehrkilometer wird pro km ein Betrag von 4 ct. (exkl. MwSt.) bzw. 5 ct. (inkl. MwSt.) berechnet.
Für Minderkilometer erfolgt eine Gutschrift von 1,3 ct. (exkl. MwSt.) bzw. 1,7 ct. (inkl. MwSt.) pro km.
Weitere Laufzeit/Laufleistungskombinationen auf Anfrage möglich. Die Mindestlaufleistung beträgt 10.000 km.
VERTRAG ZUR BATTERIEMIETE UND ZUGEHÖRIGE SERVICES MIT DER RENAULT BANK, GESCHÄFTSBEREICH DER RCI BANQUE S.A. NIEDERLASSUNG DEUTSCHLAND
Um das Elektrofahrzeug bestimmungsgemäß nutzen zu können benötigen Sie neben der Bestellung des Elektrofahrzeuges eine Antriebsbatterie. Die Batterie bedarf eines
gesonderten Vertrages zur Batteriemiete und zugehörige Services mit der Renault Bank. Sie bleibt während der Mietdauer Eigentum der Renault Bank.
LADETECHNIK
Wir empfehlen zur Vermeidung von Lade- und Elektronikrisiken beim Laden der Batterie, die von uns zertifizierte Lade-Infrastruktur sowie Ladeausrüstung (Ladestation, Kabel)
zu benutzen. Die nichtöffentliche Ladeausrüstung muss von einem qualifizierten Elektriker auf eigenen Kosten installiert werden.
RENAULT Z.E. ASSISTANCE
Bei der Renault Z.E. Assistance handelt es sich um eine Pannenhilfe inkl. Mobilitätslösung. Im Falle eines Energieausfalles werden Sie zu einem gewünschten Ladepunkt im Umkreis
von bis zu 80 km abgeschleppt. In allen anderen Fällen werden Sie zur Diagnose zu einem Renault Z.E. Expert Händler transportiert.</t>
        </r>
      </text>
    </comment>
    <comment ref="V161" authorId="0" shapeId="0" xr:uid="{00000000-0006-0000-0000-000039000000}">
      <text>
        <r>
          <rPr>
            <sz val="9"/>
            <color indexed="81"/>
            <rFont val="Tahoma"/>
            <family val="2"/>
          </rPr>
          <t xml:space="preserve">SERVICE-VERTRÄGE Preise EUR für alle
Renault Plus Garantie Versionen (Anschlussgarantie, gerechnet ab Erstzulassung)       exkl. MwSt. inkl. MwSt.
- 36 Monate Laufzeit bis max. 50.000 km Laufleistung                                                                         233,61           278,–  
- 48 Monate Laufzeit bis max. 60.000 km Laufleistung                                                                         327,73          390,–  
- 36 Monate Laufzeit bis max. 90.000 km Laufleistung                                                                         302,52          360,–  
- 48 Monate Laufzeit bis max. 100.000 km Laufleistung                                                                       458,82          546,–  
- 60 Monate Laufzeit bis max. 100.000 km Laufleistung                                                                       596,64          710,–  
- 72 Monate Laufzeit bis max. 100.000 km Laufleistung                                                                       796,64          948,–  
Zwei weitere Produkte stehen Ihnen zur Auswahl:
• Renault Komfort Service LIGHT (Wartungsvertrag, bis zu 60 Monate bzw. 200.000 km)
• Renault Komfort Service (Wartungsvertrag, bis zu 60 Monate bzw. 200.000 km)
</t>
        </r>
      </text>
    </comment>
    <comment ref="Q162" authorId="0" shapeId="0" xr:uid="{00000000-0006-0000-0000-00003A000000}">
      <text>
        <r>
          <rPr>
            <sz val="9"/>
            <color indexed="81"/>
            <rFont val="Tahoma"/>
            <family val="2"/>
          </rPr>
          <t>ANTRIEBSBATTERIE/LADESYSTEM
Batterietyp Lithium - Ionen
Nennkapazität (kWh) 6,1
Ladedauer (Stunden)
0–100 % 3,5
0–80 % 2,5
Position der Batterie unter dem Fahrersitz
Position des Ladekabels Frontverkleidung
Standardladung5, 6 230 V (AC)/10 A/1-phasig</t>
        </r>
      </text>
    </comment>
    <comment ref="U162" authorId="0" shapeId="0" xr:uid="{00000000-0006-0000-0000-00003B000000}">
      <text>
        <r>
          <rPr>
            <sz val="9"/>
            <color indexed="81"/>
            <rFont val="Tahoma"/>
            <family val="2"/>
          </rPr>
          <t xml:space="preserve">BATTERIE
PREISE DER BATTERIEMIETE Laufleistung (km/Jahr)
                                                          7.500 km      10.000 km     12.500 km    15.000 km
Laufzeit                                        Preise EUR  Preise EUR  Preise EUR  Preise EUR
12 Monate                                   60,–                  64,–                 68,–                  72,–
24 Monate                                  55,–                  59,–                 63,–                   67,–
36 Monate                                  50,–                  54,–                 58,–                   62,–
48 Monate                                  50,–                  54,–                 58,–                   62,–
Der monatliche Mietzins deckt die Bereitstellungskosten für die Batterie sowie die Renault Z.E. Assistance ab
Es wird ein Grenzwert für die Leistungsfähigkeit der Batterie von 75 % der zu Beginn vorhandenen Kapazität garantiert.
Für Mehrkilometer wird pro km ein Betrag von 2,5 ct. (inkl. MwSt.) berechnet. Für Minderkilometer erfolgt eine Gutschrift von 0,83 ct. (inkl. MwSt.) pro km.
Weitere Laufzeit/Laufleistungskombinationen auf Anfrage möglich. Die Mindestlaufleistung beträgt 7.500 km.               </t>
        </r>
      </text>
    </comment>
    <comment ref="V162" authorId="0" shapeId="0" xr:uid="{00000000-0006-0000-0000-00003C000000}">
      <text>
        <r>
          <rPr>
            <sz val="9"/>
            <color indexed="81"/>
            <rFont val="Tahoma"/>
            <family val="2"/>
          </rPr>
          <t>SERVICE-VERTRÄGE Preise EUR
Renault Plus Garantie (Anschlussgarantie, gerechnet ab Erstzulassung) inkl. MwSt.
- 36 Monate Laufzeit bis max. 50.000 km Laufleistung 217,–
- 48 Monate Laufzeit bis max. 60.000 km Laufleistung 360,–
- 36 Monate Laufzeit bis max. 90.000 km Laufleistung 268,–
- 48 Monate Laufzeit bis max. 100.000 km Laufleistung 500,–
- 60 Monate Laufzeit bis max. 100.000 km Laufleistung 670,–
- 72 Monate Laufzeit bis max. 100.000 km Laufleistung 814,–
Zwei weitere Produkte stehen Ihnen zur Auswahl:
• Renault Komfort Service LIGHT (Wartungsvertrag, bis zu 72 Monate bzw. 200.000 km)
• Renault Komfort Service (Wartungsvertrag, bis zu 72 Monate bzw. 200.000 km)
Zu den Preisen, Leistungen und allgemeinen Vertragsbedingungen dieser beruhigenden Serviceangebote, mit denen Sie sich ganz individuell absichern können, wird Sie Ihr Renault Partner gerne beraten.
Oder besuchen Sie uns auf www.renault.de.
Wartungsintervalle 1. Wartung nach 30.000 km/1 Jahr, anschließend alle 60.000 km/2 Jahre</t>
        </r>
      </text>
    </comment>
    <comment ref="Q163" authorId="0" shapeId="0" xr:uid="{00000000-0006-0000-0000-00003D000000}">
      <text>
        <r>
          <rPr>
            <sz val="9"/>
            <color indexed="81"/>
            <rFont val="Tahoma"/>
            <family val="2"/>
          </rPr>
          <t>ANTRIEBSBATTERIE/LADESYSTEM
Batterietyp Lithium - Ionen
Nennkapazität (kWh) 6,1
Ladedauer (Stunden)
0–100 % 3,5
0–80 % 2,5
Position der Batterie unter dem Fahrersitz
Position des Ladekabels Frontverkleidung
Standardladung5, 6 230 V (AC)/10 A/1-phasig</t>
        </r>
      </text>
    </comment>
    <comment ref="U163" authorId="0" shapeId="0" xr:uid="{00000000-0006-0000-0000-00003E000000}">
      <text>
        <r>
          <rPr>
            <sz val="9"/>
            <color indexed="81"/>
            <rFont val="Tahoma"/>
            <family val="2"/>
          </rPr>
          <t xml:space="preserve">BATTERIE
PREISE DER BATTERIEMIETE Laufleistung (km/Jahr)
                                                          7.500 km      10.000 km     12.500 km    15.000 km
Laufzeit                                        Preise EUR  Preise EUR  Preise EUR  Preise EUR
12 Monate                                   60,–                  64,–                 68,–                  72,–
24 Monate                                  55,–                  59,–                 63,–                   67,–
36 Monate                                  50,–                  54,–                 58,–                   62,–
48 Monate                                  50,–                  54,–                 58,–                   62,–
Der monatliche Mietzins deckt die Bereitstellungskosten für die Batterie sowie die Renault Z.E. Assistance ab
Es wird ein Grenzwert für die Leistungsfähigkeit der Batterie von 75 % der zu Beginn vorhandenen Kapazität garantiert.
Für Mehrkilometer wird pro km ein Betrag von 2,5 ct. (inkl. MwSt.) berechnet. Für Minderkilometer erfolgt eine Gutschrift von 0,83 ct. (inkl. MwSt.) pro km.
Weitere Laufzeit/Laufleistungskombinationen auf Anfrage möglich. Die Mindestlaufleistung beträgt 7.500 km.               </t>
        </r>
      </text>
    </comment>
    <comment ref="V163" authorId="0" shapeId="0" xr:uid="{00000000-0006-0000-0000-00003F000000}">
      <text>
        <r>
          <rPr>
            <sz val="9"/>
            <color indexed="81"/>
            <rFont val="Tahoma"/>
            <family val="2"/>
          </rPr>
          <t>SERVICE-VERTRÄGE Preise EUR
Renault Plus Garantie (Anschlussgarantie, gerechnet ab Erstzulassung) inkl. MwSt.
- 36 Monate Laufzeit bis max. 50.000 km Laufleistung 217,–
- 48 Monate Laufzeit bis max. 60.000 km Laufleistung 360,–
- 36 Monate Laufzeit bis max. 90.000 km Laufleistung 268,–
- 48 Monate Laufzeit bis max. 100.000 km Laufleistung 500,–
- 60 Monate Laufzeit bis max. 100.000 km Laufleistung 670,–
- 72 Monate Laufzeit bis max. 100.000 km Laufleistung 814,–
Zwei weitere Produkte stehen Ihnen zur Auswahl:
• Renault Komfort Service LIGHT (Wartungsvertrag, bis zu 72 Monate bzw. 200.000 km)
• Renault Komfort Service (Wartungsvertrag, bis zu 72 Monate bzw. 200.000 km)
Zu den Preisen, Leistungen und allgemeinen Vertragsbedingungen dieser beruhigenden Serviceangebote, mit denen Sie sich ganz individuell absichern können, wird Sie Ihr Renault Partner gerne beraten.
Oder besuchen Sie uns auf www.renault.de.
Wartungsintervalle 1. Wartung nach 30.000 km/1 Jahr, anschließend alle 60.000 km/2 Jahre</t>
        </r>
      </text>
    </comment>
    <comment ref="Q164" authorId="0" shapeId="0" xr:uid="{00000000-0006-0000-0000-000040000000}">
      <text>
        <r>
          <rPr>
            <sz val="9"/>
            <color indexed="81"/>
            <rFont val="Tahoma"/>
            <family val="2"/>
          </rPr>
          <t>ANTRIEBSBATTERIE/LADESYSTEM
Batterietyp Lithium - Ionen
Nennkapazität (kWh) 6,1
Ladedauer (Stunden)
0–100 % 3,5
0–80 % 2,5
Position der Batterie unter dem Fahrersitz
Position des Ladekabels Frontverkleidung
Standardladung5, 6 230 V (AC)/10 A/1-phasig</t>
        </r>
      </text>
    </comment>
    <comment ref="U164" authorId="0" shapeId="0" xr:uid="{00000000-0006-0000-0000-000041000000}">
      <text>
        <r>
          <rPr>
            <sz val="9"/>
            <color indexed="81"/>
            <rFont val="Tahoma"/>
            <family val="2"/>
          </rPr>
          <t xml:space="preserve">BATTERIE
PREISE DER BATTERIEMIETE Laufleistung (km/Jahr)
                                                          7.500 km      10.000 km     12.500 km    15.000 km
Laufzeit                                        Preise EUR  Preise EUR  Preise EUR  Preise EUR
12 Monate                                   60,–                  64,–                 68,–                  72,–
24 Monate                                  55,–                  59,–                 63,–                   67,–
36 Monate                                  50,–                  54,–                 58,–                   62,–
48 Monate                                  50,–                  54,–                 58,–                   62,–
Der monatliche Mietzins deckt die Bereitstellungskosten für die Batterie sowie die Renault Z.E. Assistance ab
Es wird ein Grenzwert für die Leistungsfähigkeit der Batterie von 75 % der zu Beginn vorhandenen Kapazität garantiert.
Für Mehrkilometer wird pro km ein Betrag von 2,5 ct. (inkl. MwSt.) berechnet. Für Minderkilometer erfolgt eine Gutschrift von 0,83 ct. (inkl. MwSt.) pro km.
Weitere Laufzeit/Laufleistungskombinationen auf Anfrage möglich. Die Mindestlaufleistung beträgt 7.500 km.               </t>
        </r>
      </text>
    </comment>
    <comment ref="V164" authorId="0" shapeId="0" xr:uid="{00000000-0006-0000-0000-000042000000}">
      <text>
        <r>
          <rPr>
            <sz val="9"/>
            <color indexed="81"/>
            <rFont val="Tahoma"/>
            <family val="2"/>
          </rPr>
          <t>SERVICE-VERTRÄGE Preise EUR
Renault Plus Garantie (Anschlussgarantie, gerechnet ab Erstzulassung) inkl. MwSt.
- 36 Monate Laufzeit bis max. 50.000 km Laufleistung 217,–
- 48 Monate Laufzeit bis max. 60.000 km Laufleistung 360,–
- 36 Monate Laufzeit bis max. 90.000 km Laufleistung 268,–
- 48 Monate Laufzeit bis max. 100.000 km Laufleistung 500,–
- 60 Monate Laufzeit bis max. 100.000 km Laufleistung 670,–
- 72 Monate Laufzeit bis max. 100.000 km Laufleistung 814,–
Zwei weitere Produkte stehen Ihnen zur Auswahl:
• Renault Komfort Service LIGHT (Wartungsvertrag, bis zu 72 Monate bzw. 200.000 km)
• Renault Komfort Service (Wartungsvertrag, bis zu 72 Monate bzw. 200.000 km)
Zu den Preisen, Leistungen und allgemeinen Vertragsbedingungen dieser beruhigenden Serviceangebote, mit denen Sie sich ganz individuell absichern können, wird Sie Ihr Renault Partner gerne beraten.
Oder besuchen Sie uns auf www.renault.de.
Wartungsintervalle 1. Wartung nach 30.000 km/1 Jahr, anschließend alle 60.000 km/2 Jahre</t>
        </r>
      </text>
    </comment>
    <comment ref="Q165" authorId="0" shapeId="0" xr:uid="{00000000-0006-0000-0000-000043000000}">
      <text>
        <r>
          <rPr>
            <sz val="9"/>
            <color indexed="81"/>
            <rFont val="Tahoma"/>
            <family val="2"/>
          </rPr>
          <t>ANTRIEBSBATTERIE/LADESYSTEM
Batterietyp Lithium - Ionen
Nennkapazität (kWh) 6,1
Ladedauer (Stunden)
0–100 % 3,5
0–80 % 2,5
Position der Batterie unter dem Fahrersitz
Position des Ladekabels Frontverkleidung
Standardladung5, 6 230 V (AC)/10 A/1-phasig</t>
        </r>
      </text>
    </comment>
    <comment ref="U165" authorId="0" shapeId="0" xr:uid="{00000000-0006-0000-0000-000044000000}">
      <text>
        <r>
          <rPr>
            <sz val="9"/>
            <color indexed="81"/>
            <rFont val="Tahoma"/>
            <family val="2"/>
          </rPr>
          <t xml:space="preserve">BATTERIE
PREISE DER BATTERIEMIETE Laufleistung (km/Jahr)
                                                          7.500 km      10.000 km     12.500 km    15.000 km
Laufzeit                                        Preise EUR  Preise EUR  Preise EUR  Preise EUR
12 Monate                                   60,–                  64,–                 68,–                  72,–
24 Monate                                  55,–                  59,–                 63,–                   67,–
36 Monate                                  50,–                  54,–                 58,–                   62,–
48 Monate                                  50,–                  54,–                 58,–                   62,–
Der monatliche Mietzins deckt die Bereitstellungskosten für die Batterie sowie die Renault Z.E. Assistance ab
Es wird ein Grenzwert für die Leistungsfähigkeit der Batterie von 75 % der zu Beginn vorhandenen Kapazität garantiert.
Für Mehrkilometer wird pro km ein Betrag von 2,5 ct. (inkl. MwSt.) berechnet. Für Minderkilometer erfolgt eine Gutschrift von 0,83 ct. (inkl. MwSt.) pro km.
Weitere Laufzeit/Laufleistungskombinationen auf Anfrage möglich. Die Mindestlaufleistung beträgt 7.500 km.               </t>
        </r>
      </text>
    </comment>
    <comment ref="V165" authorId="0" shapeId="0" xr:uid="{00000000-0006-0000-0000-000045000000}">
      <text>
        <r>
          <rPr>
            <sz val="9"/>
            <color indexed="81"/>
            <rFont val="Tahoma"/>
            <family val="2"/>
          </rPr>
          <t>SERVICE-VERTRÄGE Preise EUR
Renault Plus Garantie (Anschlussgarantie, gerechnet ab Erstzulassung) inkl. MwSt.
- 36 Monate Laufzeit bis max. 50.000 km Laufleistung 217,–
- 48 Monate Laufzeit bis max. 60.000 km Laufleistung 360,–
- 36 Monate Laufzeit bis max. 90.000 km Laufleistung 268,–
- 48 Monate Laufzeit bis max. 100.000 km Laufleistung 500,–
- 60 Monate Laufzeit bis max. 100.000 km Laufleistung 670,–
- 72 Monate Laufzeit bis max. 100.000 km Laufleistung 814,–
Zwei weitere Produkte stehen Ihnen zur Auswahl:
• Renault Komfort Service LIGHT (Wartungsvertrag, bis zu 72 Monate bzw. 200.000 km)
• Renault Komfort Service (Wartungsvertrag, bis zu 72 Monate bzw. 200.000 km)
Zu den Preisen, Leistungen und allgemeinen Vertragsbedingungen dieser beruhigenden Serviceangebote, mit denen Sie sich ganz individuell absichern können, wird Sie Ihr Renault Partner gerne beraten.
Oder besuchen Sie uns auf www.renault.de.
Wartungsintervalle 1. Wartung nach 30.000 km/1 Jahr, anschließend alle 60.000 km/2 Jahre</t>
        </r>
      </text>
    </comment>
    <comment ref="Q166" authorId="0" shapeId="0" xr:uid="{00000000-0006-0000-0000-000046000000}">
      <text>
        <r>
          <rPr>
            <sz val="9"/>
            <color indexed="81"/>
            <rFont val="Tahoma"/>
            <family val="2"/>
          </rPr>
          <t>ANTRIEBSBATTERIE/LADESYSTEM
Batterietyp Lithium - Ionen
Nennkapazität (kWh) 6,1
Ladedauer (Stunden)
0–100 % 3,5
0–80 % 2,5
Position der Batterie unter dem Fahrersitz
Position des Ladekabels Frontverkleidung
Standardladung5, 6 230 V (AC)/10 A/1-phasig</t>
        </r>
      </text>
    </comment>
    <comment ref="U166" authorId="0" shapeId="0" xr:uid="{00000000-0006-0000-0000-000047000000}">
      <text>
        <r>
          <rPr>
            <sz val="9"/>
            <color indexed="81"/>
            <rFont val="Tahoma"/>
            <family val="2"/>
          </rPr>
          <t xml:space="preserve">BATTERIE
PREISE DER BATTERIEMIETE Laufleistung (km/Jahr)
                                                          7.500 km      10.000 km     12.500 km    15.000 km
Laufzeit                                        Preise EUR  Preise EUR  Preise EUR  Preise EUR
12 Monate                                   60,–                  64,–                 68,–                  72,–
24 Monate                                  55,–                  59,–                 63,–                   67,–
36 Monate                                  50,–                  54,–                 58,–                   62,–
48 Monate                                  50,–                  54,–                 58,–                   62,–
Der monatliche Mietzins deckt die Bereitstellungskosten für die Batterie sowie die Renault Z.E. Assistance ab
Es wird ein Grenzwert für die Leistungsfähigkeit der Batterie von 75 % der zu Beginn vorhandenen Kapazität garantiert.
Für Mehrkilometer wird pro km ein Betrag von 2,5 ct. (inkl. MwSt.) berechnet. Für Minderkilometer erfolgt eine Gutschrift von 0,83 ct. (inkl. MwSt.) pro km.
Weitere Laufzeit/Laufleistungskombinationen auf Anfrage möglich. Die Mindestlaufleistung beträgt 7.500 km.               </t>
        </r>
      </text>
    </comment>
    <comment ref="V166" authorId="0" shapeId="0" xr:uid="{00000000-0006-0000-0000-000048000000}">
      <text>
        <r>
          <rPr>
            <sz val="9"/>
            <color indexed="81"/>
            <rFont val="Tahoma"/>
            <family val="2"/>
          </rPr>
          <t>SERVICE-VERTRÄGE Preise EUR
Renault Plus Garantie (Anschlussgarantie, gerechnet ab Erstzulassung) inkl. MwSt.
- 36 Monate Laufzeit bis max. 50.000 km Laufleistung 217,–
- 48 Monate Laufzeit bis max. 60.000 km Laufleistung 360,–
- 36 Monate Laufzeit bis max. 90.000 km Laufleistung 268,–
- 48 Monate Laufzeit bis max. 100.000 km Laufleistung 500,–
- 60 Monate Laufzeit bis max. 100.000 km Laufleistung 670,–
- 72 Monate Laufzeit bis max. 100.000 km Laufleistung 814,–
Zwei weitere Produkte stehen Ihnen zur Auswahl:
• Renault Komfort Service LIGHT (Wartungsvertrag, bis zu 72 Monate bzw. 200.000 km)
• Renault Komfort Service (Wartungsvertrag, bis zu 72 Monate bzw. 200.000 km)
Zu den Preisen, Leistungen und allgemeinen Vertragsbedingungen dieser beruhigenden Serviceangebote, mit denen Sie sich ganz individuell absichern können, wird Sie Ihr Renault Partner gerne beraten.
Oder besuchen Sie uns auf www.renault.de.
Wartungsintervalle 1. Wartung nach 30.000 km/1 Jahr, anschließend alle 60.000 km/2 Jahre</t>
        </r>
      </text>
    </comment>
    <comment ref="Q167" authorId="0" shapeId="0" xr:uid="{EC536D85-F9FB-4C64-BAAE-C38FE3E76996}">
      <text>
        <r>
          <rPr>
            <sz val="9"/>
            <color indexed="81"/>
            <rFont val="Tahoma"/>
            <family val="2"/>
          </rPr>
          <t>ANTRIEBSBATTERIE/LADESYSTEM
Batterietyp Lithium - Ionen
Nennkapazität (kWh) 6,1
Ladedauer (Stunden)
0–100 % 3,5
0–80 % 2,5
Position der Batterie unter dem Fahrersitz
Position des Ladekabels Frontverkleidung
Standardladung5, 6 230 V (AC)/10 A/1-phasig</t>
        </r>
      </text>
    </comment>
    <comment ref="U167" authorId="0" shapeId="0" xr:uid="{3F6F3676-2655-4695-A787-39468A95342E}">
      <text>
        <r>
          <rPr>
            <sz val="9"/>
            <color indexed="81"/>
            <rFont val="Tahoma"/>
            <family val="2"/>
          </rPr>
          <t xml:space="preserve">BATTERIE
PREISE DER BATTERIEMIETE Laufleistung (km/Jahr)
                                                          7.500 km      10.000 km     12.500 km    15.000 km
Laufzeit                                        Preise EUR  Preise EUR  Preise EUR  Preise EUR
12 Monate                                   60,–                  64,–                 68,–                  72,–
24 Monate                                  55,–                  59,–                 63,–                   67,–
36 Monate                                  50,–                  54,–                 58,–                   62,–
48 Monate                                  50,–                  54,–                 58,–                   62,–
Der monatliche Mietzins deckt die Bereitstellungskosten für die Batterie sowie die Renault Z.E. Assistance ab
Es wird ein Grenzwert für die Leistungsfähigkeit der Batterie von 75 % der zu Beginn vorhandenen Kapazität garantiert.
Für Mehrkilometer wird pro km ein Betrag von 2,5 ct. (inkl. MwSt.) berechnet. Für Minderkilometer erfolgt eine Gutschrift von 0,83 ct. (inkl. MwSt.) pro km.
Weitere Laufzeit/Laufleistungskombinationen auf Anfrage möglich. Die Mindestlaufleistung beträgt 7.500 km.               </t>
        </r>
      </text>
    </comment>
    <comment ref="V167" authorId="0" shapeId="0" xr:uid="{B1E6418E-9A3E-4833-BB1C-A8E9A5EECAF2}">
      <text>
        <r>
          <rPr>
            <sz val="9"/>
            <color indexed="81"/>
            <rFont val="Tahoma"/>
            <family val="2"/>
          </rPr>
          <t>SERVICE-VERTRÄGE Preise EUR
Renault Plus Garantie (Anschlussgarantie, gerechnet ab Erstzulassung) inkl. MwSt.
- 36 Monate Laufzeit bis max. 50.000 km Laufleistung 217,–
- 48 Monate Laufzeit bis max. 60.000 km Laufleistung 360,–
- 36 Monate Laufzeit bis max. 90.000 km Laufleistung 268,–
- 48 Monate Laufzeit bis max. 100.000 km Laufleistung 500,–
- 60 Monate Laufzeit bis max. 100.000 km Laufleistung 670,–
- 72 Monate Laufzeit bis max. 100.000 km Laufleistung 814,–
Zwei weitere Produkte stehen Ihnen zur Auswahl:
• Renault Komfort Service LIGHT (Wartungsvertrag, bis zu 72 Monate bzw. 200.000 km)
• Renault Komfort Service (Wartungsvertrag, bis zu 72 Monate bzw. 200.000 km)
Zu den Preisen, Leistungen und allgemeinen Vertragsbedingungen dieser beruhigenden Serviceangebote, mit denen Sie sich ganz individuell absichern können, wird Sie Ihr Renault Partner gerne beraten.
Oder besuchen Sie uns auf www.renault.de.
Wartungsintervalle 1. Wartung nach 30.000 km/1 Jahr, anschließend alle 60.000 km/2 Jahre</t>
        </r>
      </text>
    </comment>
    <comment ref="Q168" authorId="0" shapeId="0" xr:uid="{66F965D3-CB51-41BA-A053-D2A63E6384BC}">
      <text>
        <r>
          <rPr>
            <sz val="9"/>
            <color indexed="81"/>
            <rFont val="Tahoma"/>
            <family val="2"/>
          </rPr>
          <t>ANTRIEBSBATTERIE/LADESYSTEM
Batterietyp Lithium - Ionen
Nennkapazität (kWh) 6,1
Ladedauer (Stunden)
0–100 % 3,5
0–80 % 2,5
Position der Batterie unter dem Fahrersitz
Position des Ladekabels Frontverkleidung
Standardladung5, 6 230 V (AC)/10 A/1-phasig</t>
        </r>
      </text>
    </comment>
    <comment ref="U168" authorId="0" shapeId="0" xr:uid="{75FFC15C-EF71-44D7-ABF9-7E2697A64FFB}">
      <text>
        <r>
          <rPr>
            <sz val="9"/>
            <color indexed="81"/>
            <rFont val="Tahoma"/>
            <family val="2"/>
          </rPr>
          <t xml:space="preserve">BATTERIE
PREISE DER BATTERIEMIETE Laufleistung (km/Jahr)
                                                          7.500 km      10.000 km     12.500 km    15.000 km
Laufzeit                                        Preise EUR  Preise EUR  Preise EUR  Preise EUR
12 Monate                                   60,–                  64,–                 68,–                  72,–
24 Monate                                  55,–                  59,–                 63,–                   67,–
36 Monate                                  50,–                  54,–                 58,–                   62,–
48 Monate                                  50,–                  54,–                 58,–                   62,–
Der monatliche Mietzins deckt die Bereitstellungskosten für die Batterie sowie die Renault Z.E. Assistance ab
Es wird ein Grenzwert für die Leistungsfähigkeit der Batterie von 75 % der zu Beginn vorhandenen Kapazität garantiert.
Für Mehrkilometer wird pro km ein Betrag von 2,5 ct. (inkl. MwSt.) berechnet. Für Minderkilometer erfolgt eine Gutschrift von 0,83 ct. (inkl. MwSt.) pro km.
Weitere Laufzeit/Laufleistungskombinationen auf Anfrage möglich. Die Mindestlaufleistung beträgt 7.500 km.               </t>
        </r>
      </text>
    </comment>
    <comment ref="V168" authorId="0" shapeId="0" xr:uid="{FC9A3E1F-B859-49D3-850F-DF1182C64A2F}">
      <text>
        <r>
          <rPr>
            <sz val="9"/>
            <color indexed="81"/>
            <rFont val="Tahoma"/>
            <family val="2"/>
          </rPr>
          <t>SERVICE-VERTRÄGE Preise EUR
Renault Plus Garantie (Anschlussgarantie, gerechnet ab Erstzulassung) inkl. MwSt.
- 36 Monate Laufzeit bis max. 50.000 km Laufleistung 217,–
- 48 Monate Laufzeit bis max. 60.000 km Laufleistung 360,–
- 36 Monate Laufzeit bis max. 90.000 km Laufleistung 268,–
- 48 Monate Laufzeit bis max. 100.000 km Laufleistung 500,–
- 60 Monate Laufzeit bis max. 100.000 km Laufleistung 670,–
- 72 Monate Laufzeit bis max. 100.000 km Laufleistung 814,–
Zwei weitere Produkte stehen Ihnen zur Auswahl:
• Renault Komfort Service LIGHT (Wartungsvertrag, bis zu 72 Monate bzw. 200.000 km)
• Renault Komfort Service (Wartungsvertrag, bis zu 72 Monate bzw. 200.000 km)
Zu den Preisen, Leistungen und allgemeinen Vertragsbedingungen dieser beruhigenden Serviceangebote, mit denen Sie sich ganz individuell absichern können, wird Sie Ihr Renault Partner gerne beraten.
Oder besuchen Sie uns auf www.renault.de.
Wartungsintervalle 1. Wartung nach 30.000 km/1 Jahr, anschließend alle 60.000 km/2 Jahre</t>
        </r>
      </text>
    </comment>
    <comment ref="Q169" authorId="0" shapeId="0" xr:uid="{A36B5EBC-C573-4468-BBE5-7EED30FDFB93}">
      <text>
        <r>
          <rPr>
            <sz val="9"/>
            <color indexed="81"/>
            <rFont val="Tahoma"/>
            <family val="2"/>
          </rPr>
          <t>ANTRIEBSBATTERIE/LADESYSTEM
Batterietyp Lithium - Ionen
Nennkapazität (kWh) 6,1
Ladedauer (Stunden)
0–100 % 3,5
0–80 % 2,5
Position der Batterie unter dem Fahrersitz
Position des Ladekabels Frontverkleidung
Standardladung5, 6 230 V (AC)/10 A/1-phasig</t>
        </r>
      </text>
    </comment>
    <comment ref="U169" authorId="0" shapeId="0" xr:uid="{9544BCF9-DCD0-4725-9920-98EAB90B6960}">
      <text>
        <r>
          <rPr>
            <sz val="9"/>
            <color indexed="81"/>
            <rFont val="Tahoma"/>
            <family val="2"/>
          </rPr>
          <t xml:space="preserve">BATTERIE
PREISE DER BATTERIEMIETE Laufleistung (km/Jahr)
                                                          7.500 km      10.000 km     12.500 km    15.000 km
Laufzeit                                        Preise EUR  Preise EUR  Preise EUR  Preise EUR
12 Monate                                   60,–                  64,–                 68,–                  72,–
24 Monate                                  55,–                  59,–                 63,–                   67,–
36 Monate                                  50,–                  54,–                 58,–                   62,–
48 Monate                                  50,–                  54,–                 58,–                   62,–
Der monatliche Mietzins deckt die Bereitstellungskosten für die Batterie sowie die Renault Z.E. Assistance ab
Es wird ein Grenzwert für die Leistungsfähigkeit der Batterie von 75 % der zu Beginn vorhandenen Kapazität garantiert.
Für Mehrkilometer wird pro km ein Betrag von 2,5 ct. (inkl. MwSt.) berechnet. Für Minderkilometer erfolgt eine Gutschrift von 0,83 ct. (inkl. MwSt.) pro km.
Weitere Laufzeit/Laufleistungskombinationen auf Anfrage möglich. Die Mindestlaufleistung beträgt 7.500 km.               </t>
        </r>
      </text>
    </comment>
    <comment ref="V169" authorId="0" shapeId="0" xr:uid="{87CB7FF4-9CE0-468B-B129-ECB90B39B6A8}">
      <text>
        <r>
          <rPr>
            <sz val="9"/>
            <color indexed="81"/>
            <rFont val="Tahoma"/>
            <family val="2"/>
          </rPr>
          <t>SERVICE-VERTRÄGE Preise EUR
Renault Plus Garantie (Anschlussgarantie, gerechnet ab Erstzulassung) inkl. MwSt.
- 36 Monate Laufzeit bis max. 50.000 km Laufleistung 217,–
- 48 Monate Laufzeit bis max. 60.000 km Laufleistung 360,–
- 36 Monate Laufzeit bis max. 90.000 km Laufleistung 268,–
- 48 Monate Laufzeit bis max. 100.000 km Laufleistung 500,–
- 60 Monate Laufzeit bis max. 100.000 km Laufleistung 670,–
- 72 Monate Laufzeit bis max. 100.000 km Laufleistung 814,–
Zwei weitere Produkte stehen Ihnen zur Auswahl:
• Renault Komfort Service LIGHT (Wartungsvertrag, bis zu 72 Monate bzw. 200.000 km)
• Renault Komfort Service (Wartungsvertrag, bis zu 72 Monate bzw. 200.000 km)
Zu den Preisen, Leistungen und allgemeinen Vertragsbedingungen dieser beruhigenden Serviceangebote, mit denen Sie sich ganz individuell absichern können, wird Sie Ihr Renault Partner gerne beraten.
Oder besuchen Sie uns auf www.renault.de.
Wartungsintervalle 1. Wartung nach 30.000 km/1 Jahr, anschließend alle 60.000 km/2 Jahre</t>
        </r>
      </text>
    </comment>
    <comment ref="Q170" authorId="0" shapeId="0" xr:uid="{8AC54EAD-EF64-4670-8227-9823B78BC043}">
      <text>
        <r>
          <rPr>
            <sz val="9"/>
            <color indexed="81"/>
            <rFont val="Tahoma"/>
            <family val="2"/>
          </rPr>
          <t>ANTRIEBSBATTERIE/LADESYSTEM
Batterietyp Lithium - Ionen
Nennkapazität (kWh) 6,1
Ladedauer (Stunden)
0–100 % 3,5
0–80 % 2,5
Position der Batterie unter dem Fahrersitz
Position des Ladekabels Frontverkleidung
Standardladung5, 6 230 V (AC)/10 A/1-phasig</t>
        </r>
      </text>
    </comment>
    <comment ref="U170" authorId="0" shapeId="0" xr:uid="{D807DCBD-E1D3-4E72-AE61-64D8F1A61E0A}">
      <text>
        <r>
          <rPr>
            <sz val="9"/>
            <color indexed="81"/>
            <rFont val="Tahoma"/>
            <family val="2"/>
          </rPr>
          <t xml:space="preserve">BATTERIE
PREISE DER BATTERIEMIETE Laufleistung (km/Jahr)
                                                          7.500 km      10.000 km     12.500 km    15.000 km
Laufzeit                                        Preise EUR  Preise EUR  Preise EUR  Preise EUR
12 Monate                                   60,–                  64,–                 68,–                  72,–
24 Monate                                  55,–                  59,–                 63,–                   67,–
36 Monate                                  50,–                  54,–                 58,–                   62,–
48 Monate                                  50,–                  54,–                 58,–                   62,–
Der monatliche Mietzins deckt die Bereitstellungskosten für die Batterie sowie die Renault Z.E. Assistance ab
Es wird ein Grenzwert für die Leistungsfähigkeit der Batterie von 75 % der zu Beginn vorhandenen Kapazität garantiert.
Für Mehrkilometer wird pro km ein Betrag von 2,5 ct. (inkl. MwSt.) berechnet. Für Minderkilometer erfolgt eine Gutschrift von 0,83 ct. (inkl. MwSt.) pro km.
Weitere Laufzeit/Laufleistungskombinationen auf Anfrage möglich. Die Mindestlaufleistung beträgt 7.500 km.               </t>
        </r>
      </text>
    </comment>
    <comment ref="V170" authorId="0" shapeId="0" xr:uid="{0B4ED8FB-DE78-4BDD-8A0C-635CE59C9E7A}">
      <text>
        <r>
          <rPr>
            <sz val="9"/>
            <color indexed="81"/>
            <rFont val="Tahoma"/>
            <family val="2"/>
          </rPr>
          <t>SERVICE-VERTRÄGE Preise EUR
Renault Plus Garantie (Anschlussgarantie, gerechnet ab Erstzulassung) inkl. MwSt.
- 36 Monate Laufzeit bis max. 50.000 km Laufleistung 217,–
- 48 Monate Laufzeit bis max. 60.000 km Laufleistung 360,–
- 36 Monate Laufzeit bis max. 90.000 km Laufleistung 268,–
- 48 Monate Laufzeit bis max. 100.000 km Laufleistung 500,–
- 60 Monate Laufzeit bis max. 100.000 km Laufleistung 670,–
- 72 Monate Laufzeit bis max. 100.000 km Laufleistung 814,–
Zwei weitere Produkte stehen Ihnen zur Auswahl:
• Renault Komfort Service LIGHT (Wartungsvertrag, bis zu 72 Monate bzw. 200.000 km)
• Renault Komfort Service (Wartungsvertrag, bis zu 72 Monate bzw. 200.000 km)
Zu den Preisen, Leistungen und allgemeinen Vertragsbedingungen dieser beruhigenden Serviceangebote, mit denen Sie sich ganz individuell absichern können, wird Sie Ihr Renault Partner gerne beraten.
Oder besuchen Sie uns auf www.renault.de.
Wartungsintervalle 1. Wartung nach 30.000 km/1 Jahr, anschließend alle 60.000 km/2 Jahre</t>
        </r>
      </text>
    </comment>
    <comment ref="Q171" authorId="0" shapeId="0" xr:uid="{D03112F6-74A9-4EE1-86FA-41732EB393C9}">
      <text>
        <r>
          <rPr>
            <sz val="9"/>
            <color indexed="81"/>
            <rFont val="Tahoma"/>
            <family val="2"/>
          </rPr>
          <t>ANTRIEBSBATTERIE/LADESYSTEM
Batterietyp Lithium - Ionen
Nennkapazität (kWh) 6,1
Ladedauer (Stunden)
0–100 % 3,5
0–80 % 2,5
Position der Batterie unter dem Fahrersitz
Position des Ladekabels Frontverkleidung
Standardladung5, 6 230 V (AC)/10 A/1-phasig</t>
        </r>
      </text>
    </comment>
    <comment ref="U171" authorId="0" shapeId="0" xr:uid="{4C92B503-39BD-46DE-9370-F9AFB687B6FA}">
      <text>
        <r>
          <rPr>
            <sz val="9"/>
            <color indexed="81"/>
            <rFont val="Tahoma"/>
            <family val="2"/>
          </rPr>
          <t xml:space="preserve">BATTERIE
PREISE DER BATTERIEMIETE Laufleistung (km/Jahr)
                                                          7.500 km      10.000 km     12.500 km    15.000 km
Laufzeit                                        Preise EUR  Preise EUR  Preise EUR  Preise EUR
12 Monate                                   60,–                  64,–                 68,–                  72,–
24 Monate                                  55,–                  59,–                 63,–                   67,–
36 Monate                                  50,–                  54,–                 58,–                   62,–
48 Monate                                  50,–                  54,–                 58,–                   62,–
Der monatliche Mietzins deckt die Bereitstellungskosten für die Batterie sowie die Renault Z.E. Assistance ab
Es wird ein Grenzwert für die Leistungsfähigkeit der Batterie von 75 % der zu Beginn vorhandenen Kapazität garantiert.
Für Mehrkilometer wird pro km ein Betrag von 2,5 ct. (inkl. MwSt.) berechnet. Für Minderkilometer erfolgt eine Gutschrift von 0,83 ct. (inkl. MwSt.) pro km.
Weitere Laufzeit/Laufleistungskombinationen auf Anfrage möglich. Die Mindestlaufleistung beträgt 7.500 km.               </t>
        </r>
      </text>
    </comment>
    <comment ref="V171" authorId="0" shapeId="0" xr:uid="{9861A8ED-9112-4205-B52E-163467AFC42F}">
      <text>
        <r>
          <rPr>
            <sz val="9"/>
            <color indexed="81"/>
            <rFont val="Tahoma"/>
            <family val="2"/>
          </rPr>
          <t>SERVICE-VERTRÄGE Preise EUR
Renault Plus Garantie (Anschlussgarantie, gerechnet ab Erstzulassung) inkl. MwSt.
- 36 Monate Laufzeit bis max. 50.000 km Laufleistung 217,–
- 48 Monate Laufzeit bis max. 60.000 km Laufleistung 360,–
- 36 Monate Laufzeit bis max. 90.000 km Laufleistung 268,–
- 48 Monate Laufzeit bis max. 100.000 km Laufleistung 500,–
- 60 Monate Laufzeit bis max. 100.000 km Laufleistung 670,–
- 72 Monate Laufzeit bis max. 100.000 km Laufleistung 814,–
Zwei weitere Produkte stehen Ihnen zur Auswahl:
• Renault Komfort Service LIGHT (Wartungsvertrag, bis zu 72 Monate bzw. 200.000 km)
• Renault Komfort Service (Wartungsvertrag, bis zu 72 Monate bzw. 200.000 km)
Zu den Preisen, Leistungen und allgemeinen Vertragsbedingungen dieser beruhigenden Serviceangebote, mit denen Sie sich ganz individuell absichern können, wird Sie Ihr Renault Partner gerne beraten.
Oder besuchen Sie uns auf www.renault.de.
Wartungsintervalle 1. Wartung nach 30.000 km/1 Jahr, anschließend alle 60.000 km/2 Jahre</t>
        </r>
      </text>
    </comment>
    <comment ref="Q172" authorId="0" shapeId="0" xr:uid="{00000000-0006-0000-0000-000049000000}">
      <text>
        <r>
          <rPr>
            <sz val="9"/>
            <color indexed="81"/>
            <rFont val="Tahoma"/>
            <family val="2"/>
          </rPr>
          <t>ANTRIEBSBATTERIE/LADESYSTEM
Batterietyp Lithium - Ionen
Nennkapazität (kWh) 6,1
Ladedauer (Stunden)
0–100 % 3,5
0–80 % 2,5
Position der Batterie unter dem Fahrersitz
Position des Ladekabels Frontverkleidung
Standardladung5, 6 230 V (AC)/10 A/1-phasig</t>
        </r>
      </text>
    </comment>
    <comment ref="U172" authorId="0" shapeId="0" xr:uid="{00000000-0006-0000-0000-00004A000000}">
      <text>
        <r>
          <rPr>
            <sz val="9"/>
            <color indexed="81"/>
            <rFont val="Tahoma"/>
            <family val="2"/>
          </rPr>
          <t xml:space="preserve">BATTERIE
PREISE DER BATTERIEMIETE Laufleistung (km/Jahr)
                                                          7.500 km      10.000 km     12.500 km    15.000 km
Laufzeit                                        Preise EUR  Preise EUR  Preise EUR  Preise EUR
12 Monate                                   60,–                  64,–                 68,–                  72,–
24 Monate                                  55,–                  59,–                 63,–                   67,–
36 Monate                                  50,–                  54,–                 58,–                   62,–
48 Monate                                  50,–                  54,–                 58,–                   62,–
Der monatliche Mietzins deckt die Bereitstellungskosten für die Batterie sowie die Renault Z.E. Assistance ab
Es wird ein Grenzwert für die Leistungsfähigkeit der Batterie von 75 % der zu Beginn vorhandenen Kapazität garantiert.
Für Mehrkilometer wird pro km ein Betrag von 2,5 ct. (inkl. MwSt.) berechnet. Für Minderkilometer erfolgt eine Gutschrift von 0,83 ct. (inkl. MwSt.) pro km.
Weitere Laufzeit/Laufleistungskombinationen auf Anfrage möglich. Die Mindestlaufleistung beträgt 7.500 km.               </t>
        </r>
      </text>
    </comment>
    <comment ref="V172" authorId="0" shapeId="0" xr:uid="{00000000-0006-0000-0000-00004B000000}">
      <text>
        <r>
          <rPr>
            <sz val="9"/>
            <color indexed="81"/>
            <rFont val="Tahoma"/>
            <family val="2"/>
          </rPr>
          <t>SERVICE-VERTRÄGE Preise EUR
Renault Plus Garantie (Anschlussgarantie, gerechnet ab Erstzulassung) inkl. MwSt.
- 36 Monate Laufzeit bis max. 50.000 km Laufleistung 217,–
- 48 Monate Laufzeit bis max. 60.000 km Laufleistung 360,–
- 36 Monate Laufzeit bis max. 90.000 km Laufleistung 268,–
- 48 Monate Laufzeit bis max. 100.000 km Laufleistung 500,–
- 60 Monate Laufzeit bis max. 100.000 km Laufleistung 670,–
- 72 Monate Laufzeit bis max. 100.000 km Laufleistung 814,–
Zwei weitere Produkte stehen Ihnen zur Auswahl:
• Renault Komfort Service LIGHT (Wartungsvertrag, bis zu 72 Monate bzw. 200.000 km)
• Renault Komfort Service (Wartungsvertrag, bis zu 72 Monate bzw. 200.000 km)
Zu den Preisen, Leistungen und allgemeinen Vertragsbedingungen dieser beruhigenden Serviceangebote, mit denen Sie sich ganz individuell absichern können, wird Sie Ihr Renault Partner gerne beraten.
Oder besuchen Sie uns auf www.renault.de.
Wartungsintervalle 1. Wartung nach 30.000 km/1 Jahr, anschließend alle 60.000 km/2 Jahre</t>
        </r>
      </text>
    </comment>
    <comment ref="Q173" authorId="0" shapeId="0" xr:uid="{00000000-0006-0000-0000-00004C000000}">
      <text>
        <r>
          <rPr>
            <sz val="9"/>
            <color indexed="81"/>
            <rFont val="Tahoma"/>
            <family val="2"/>
          </rPr>
          <t>ANTRIEBSBATTERIE/LADESYSTEM
Batterietyp Lithium - Ionen
Nennkapazität (kWh) 6,1
Ladedauer (Stunden)
0–100 % 3,5
0–80 % 2,5
Position der Batterie unter dem Fahrersitz
Position des Ladekabels Frontverkleidung
Standardladung5, 6 230 V (AC)/10 A/1-phasig</t>
        </r>
      </text>
    </comment>
    <comment ref="U173" authorId="0" shapeId="0" xr:uid="{00000000-0006-0000-0000-00004D000000}">
      <text>
        <r>
          <rPr>
            <sz val="9"/>
            <color indexed="81"/>
            <rFont val="Tahoma"/>
            <family val="2"/>
          </rPr>
          <t xml:space="preserve">BATTERIE
PREISE DER BATTERIEMIETE Laufleistung (km/Jahr)
                                                          7.500 km      10.000 km     12.500 km    15.000 km
Laufzeit                                        Preise EUR  Preise EUR  Preise EUR  Preise EUR
12 Monate                                   60,–                  64,–                 68,–                  72,–
24 Monate                                  55,–                  59,–                 63,–                   67,–
36 Monate                                  50,–                  54,–                 58,–                   62,–
48 Monate                                  50,–                  54,–                 58,–                   62,–
Der monatliche Mietzins deckt die Bereitstellungskosten für die Batterie sowie die Renault Z.E. Assistance ab
Es wird ein Grenzwert für die Leistungsfähigkeit der Batterie von 75 % der zu Beginn vorhandenen Kapazität garantiert.
Für Mehrkilometer wird pro km ein Betrag von 2,5 ct. (inkl. MwSt.) berechnet. Für Minderkilometer erfolgt eine Gutschrift von 0,83 ct. (inkl. MwSt.) pro km.
Weitere Laufzeit/Laufleistungskombinationen auf Anfrage möglich. Die Mindestlaufleistung beträgt 7.500 km.               </t>
        </r>
      </text>
    </comment>
    <comment ref="V173" authorId="0" shapeId="0" xr:uid="{00000000-0006-0000-0000-00004E000000}">
      <text>
        <r>
          <rPr>
            <sz val="9"/>
            <color indexed="81"/>
            <rFont val="Tahoma"/>
            <family val="2"/>
          </rPr>
          <t>SERVICE-VERTRÄGE Preise EUR
Renault Plus Garantie (Anschlussgarantie, gerechnet ab Erstzulassung) inkl. MwSt.
- 36 Monate Laufzeit bis max. 50.000 km Laufleistung 217,–
- 48 Monate Laufzeit bis max. 60.000 km Laufleistung 360,–
- 36 Monate Laufzeit bis max. 90.000 km Laufleistung 268,–
- 48 Monate Laufzeit bis max. 100.000 km Laufleistung 500,–
- 60 Monate Laufzeit bis max. 100.000 km Laufleistung 670,–
- 72 Monate Laufzeit bis max. 100.000 km Laufleistung 814,–
Zwei weitere Produkte stehen Ihnen zur Auswahl:
• Renault Komfort Service LIGHT (Wartungsvertrag, bis zu 72 Monate bzw. 200.000 km)
• Renault Komfort Service (Wartungsvertrag, bis zu 72 Monate bzw. 200.000 km)
Zu den Preisen, Leistungen und allgemeinen Vertragsbedingungen dieser beruhigenden Serviceangebote, mit denen Sie sich ganz individuell absichern können, wird Sie Ihr Renault Partner gerne beraten.
Oder besuchen Sie uns auf www.renault.de.
Wartungsintervalle 1. Wartung nach 30.000 km/1 Jahr, anschließend alle 60.000 km/2 Jahre</t>
        </r>
      </text>
    </comment>
    <comment ref="N175" authorId="0" shapeId="0" xr:uid="{00000000-0006-0000-0000-00004F000000}">
      <text>
        <r>
          <rPr>
            <sz val="9"/>
            <color indexed="81"/>
            <rFont val="Tahoma"/>
            <family val="2"/>
          </rPr>
          <t>Calculated</t>
        </r>
      </text>
    </comment>
    <comment ref="V175" authorId="0" shapeId="0" xr:uid="{00000000-0006-0000-0000-000050000000}">
      <text>
        <r>
          <rPr>
            <sz val="9"/>
            <color indexed="81"/>
            <rFont val="Tahoma"/>
            <family val="2"/>
          </rPr>
          <t>Garantieverlängerung²
- 36 Monate / 40.000km
Einmalzahlung 109,17 131,00 O O O
Ratenzahlung / Monat 4,17 5,00 O O O
- 48 Monate / 60.000km
Einmalzahlung 163,33 196,00 O O O
Ratenzahlung / Monat 4,17 5,00 O O O
- 60 Monate / 80.000km
Einmalzahlung 220,00 264,00 O O O
Ratenzahlung / Monat 4,17 5,00 O O O</t>
        </r>
      </text>
    </comment>
    <comment ref="Q199" authorId="0" shapeId="0" xr:uid="{00000000-0006-0000-0000-000051000000}">
      <text>
        <r>
          <rPr>
            <sz val="9"/>
            <color indexed="81"/>
            <rFont val="Tahoma"/>
            <family val="2"/>
          </rPr>
          <t xml:space="preserve">Warranty: 100.000km or 4 years
42 kWh battery storage system standard
70 kWh and greater battery storage systems optional
Die Batterie speichert 56 kWh[3] (ca. 20 % gehen beim Laden verloren, daher werden etwa 70 kWh für eine Aufladung benötigt)[4],
Auf die Batterie des Model S gibt Tesla eine Garantie von 8 Jahren ohne Kilometerbeschränkung
http://www.goingelectric.de/2012/06/21/news/tesla-model-s-offizielle-reichweite-427-km/
</t>
        </r>
      </text>
    </comment>
    <comment ref="S199" authorId="0" shapeId="0" xr:uid="{00000000-0006-0000-0000-000052000000}">
      <text>
        <r>
          <rPr>
            <sz val="9"/>
            <color indexed="81"/>
            <rFont val="Tahoma"/>
            <family val="2"/>
          </rPr>
          <t>http://de.wikipedia.org/wiki/Tesla_Roadster</t>
        </r>
      </text>
    </comment>
  </commentList>
</comments>
</file>

<file path=xl/sharedStrings.xml><?xml version="1.0" encoding="utf-8"?>
<sst xmlns="http://schemas.openxmlformats.org/spreadsheetml/2006/main" count="592" uniqueCount="235">
  <si>
    <t>© 2013 EFFEKTIV Kemendy / Eichinger</t>
  </si>
  <si>
    <t>Ohne Berücksichtigung von Versicherung und Reparaturkosten sowie Wertverlust. E-Auto und herkömmliche Variante sind nicht in jedem Fall hinsichtlich Ausstattung zu 100% identisch, es wurde die nächstmögliche Annäherung angenommen. Alle Werte sind Näherungswerte.</t>
  </si>
  <si>
    <t>Common input parameter (Values from November 2012)</t>
  </si>
  <si>
    <t>Investment horizon</t>
  </si>
  <si>
    <t>Years</t>
  </si>
  <si>
    <t>Daily driving distance</t>
  </si>
  <si>
    <t>km</t>
  </si>
  <si>
    <t>Electricity price</t>
  </si>
  <si>
    <t>Cent/kWh</t>
  </si>
  <si>
    <t>Annual electricity price incr.</t>
  </si>
  <si>
    <t>Interest rate</t>
  </si>
  <si>
    <t>Car using days</t>
  </si>
  <si>
    <t>Days/Year</t>
  </si>
  <si>
    <t>Petrol price</t>
  </si>
  <si>
    <t>Euro/L</t>
  </si>
  <si>
    <t>Annual petrol price incr.</t>
  </si>
  <si>
    <t>Inflation</t>
  </si>
  <si>
    <t>Strom-MIX</t>
  </si>
  <si>
    <r>
      <t>g CO</t>
    </r>
    <r>
      <rPr>
        <vertAlign val="subscript"/>
        <sz val="10"/>
        <rFont val="Tahoma"/>
        <family val="2"/>
      </rPr>
      <t>2</t>
    </r>
    <r>
      <rPr>
        <sz val="10"/>
        <rFont val="Tahoma"/>
        <family val="2"/>
      </rPr>
      <t>/kWh</t>
    </r>
  </si>
  <si>
    <t>Diesel price</t>
  </si>
  <si>
    <t>Annual diesel price incr.</t>
  </si>
  <si>
    <t>Battery loading losses</t>
  </si>
  <si>
    <r>
      <t>CO</t>
    </r>
    <r>
      <rPr>
        <vertAlign val="subscript"/>
        <sz val="10"/>
        <rFont val="Tahoma"/>
        <family val="2"/>
      </rPr>
      <t>2</t>
    </r>
    <r>
      <rPr>
        <sz val="10"/>
        <rFont val="Tahoma"/>
        <family val="2"/>
      </rPr>
      <t xml:space="preserve"> Certificate</t>
    </r>
  </si>
  <si>
    <t>Euro/MWh</t>
  </si>
  <si>
    <t>Gas price</t>
  </si>
  <si>
    <t>Annual gas price incr.</t>
  </si>
  <si>
    <t>Car #1</t>
  </si>
  <si>
    <t>Input parameter</t>
  </si>
  <si>
    <t>Results</t>
  </si>
  <si>
    <t>Costs</t>
  </si>
  <si>
    <t>Cashflow</t>
  </si>
  <si>
    <t>Model</t>
  </si>
  <si>
    <t>Golf Comfortline BMT TDI</t>
  </si>
  <si>
    <t>Total distance</t>
  </si>
  <si>
    <t>km/Year</t>
  </si>
  <si>
    <t>Year</t>
  </si>
  <si>
    <t>Init</t>
  </si>
  <si>
    <t>Leasing</t>
  </si>
  <si>
    <t>Repl.</t>
  </si>
  <si>
    <t>O&amp;M Ins. Tax</t>
  </si>
  <si>
    <t>CF</t>
  </si>
  <si>
    <t>DCF</t>
  </si>
  <si>
    <t>Cumulative costs</t>
  </si>
  <si>
    <t>1/(1+r)^t</t>
  </si>
  <si>
    <r>
      <t>CO</t>
    </r>
    <r>
      <rPr>
        <b/>
        <vertAlign val="subscript"/>
        <sz val="10"/>
        <rFont val="Tahoma"/>
        <family val="2"/>
      </rPr>
      <t>2</t>
    </r>
    <r>
      <rPr>
        <b/>
        <sz val="10"/>
        <rFont val="Tahoma"/>
        <family val="2"/>
      </rPr>
      <t xml:space="preserve"> Emissions</t>
    </r>
  </si>
  <si>
    <t>Company</t>
  </si>
  <si>
    <t>Euro/Year</t>
  </si>
  <si>
    <t>Euro</t>
  </si>
  <si>
    <r>
      <t>t CO</t>
    </r>
    <r>
      <rPr>
        <vertAlign val="subscript"/>
        <sz val="10"/>
        <rFont val="Tahoma"/>
        <family val="2"/>
      </rPr>
      <t>2</t>
    </r>
  </si>
  <si>
    <t>Vehicle type</t>
  </si>
  <si>
    <t>Energy demand</t>
  </si>
  <si>
    <t>kWh/Year</t>
  </si>
  <si>
    <t>Fuel type</t>
  </si>
  <si>
    <t>NPV</t>
  </si>
  <si>
    <t>Power</t>
  </si>
  <si>
    <t>kW</t>
  </si>
  <si>
    <t>Annuity</t>
  </si>
  <si>
    <t>Price</t>
  </si>
  <si>
    <t>LRMC</t>
  </si>
  <si>
    <t>Cent/km</t>
  </si>
  <si>
    <t>O&amp;M</t>
  </si>
  <si>
    <t>Capital Recovery Factor</t>
  </si>
  <si>
    <t>Insurance</t>
  </si>
  <si>
    <r>
      <t>Total CO</t>
    </r>
    <r>
      <rPr>
        <b/>
        <vertAlign val="subscript"/>
        <sz val="10"/>
        <rFont val="Tahoma"/>
        <family val="2"/>
      </rPr>
      <t>2</t>
    </r>
    <r>
      <rPr>
        <b/>
        <sz val="10"/>
        <rFont val="Tahoma"/>
        <family val="2"/>
      </rPr>
      <t xml:space="preserve"> Emissions</t>
    </r>
  </si>
  <si>
    <r>
      <t>t CO</t>
    </r>
    <r>
      <rPr>
        <b/>
        <vertAlign val="subscript"/>
        <sz val="10"/>
        <rFont val="Tahoma"/>
        <family val="2"/>
      </rPr>
      <t>2</t>
    </r>
    <r>
      <rPr>
        <b/>
        <sz val="10"/>
        <rFont val="Tahoma"/>
        <family val="2"/>
      </rPr>
      <t>/LT</t>
    </r>
  </si>
  <si>
    <t>Car-Tax</t>
  </si>
  <si>
    <t>Fossile</t>
  </si>
  <si>
    <t>Maximal range</t>
  </si>
  <si>
    <t>Averge fuel consumption</t>
  </si>
  <si>
    <t>L/100km</t>
  </si>
  <si>
    <t>Fuel demand</t>
  </si>
  <si>
    <t>L/Day</t>
  </si>
  <si>
    <t>Energy in fuel</t>
  </si>
  <si>
    <t>kWh/L</t>
  </si>
  <si>
    <t>L/Year</t>
  </si>
  <si>
    <t>Capacity tank</t>
  </si>
  <si>
    <t>L</t>
  </si>
  <si>
    <t>kWh/Day</t>
  </si>
  <si>
    <r>
      <t>CO</t>
    </r>
    <r>
      <rPr>
        <vertAlign val="subscript"/>
        <sz val="10"/>
        <rFont val="Tahoma"/>
        <family val="2"/>
      </rPr>
      <t>2</t>
    </r>
    <r>
      <rPr>
        <sz val="10"/>
        <rFont val="Tahoma"/>
        <family val="2"/>
      </rPr>
      <t xml:space="preserve"> Emissions</t>
    </r>
  </si>
  <si>
    <r>
      <t>g CO</t>
    </r>
    <r>
      <rPr>
        <vertAlign val="subscript"/>
        <sz val="10"/>
        <rFont val="Tahoma"/>
        <family val="2"/>
      </rPr>
      <t>2</t>
    </r>
    <r>
      <rPr>
        <sz val="10"/>
        <rFont val="Tahoma"/>
        <family val="2"/>
      </rPr>
      <t>/km</t>
    </r>
  </si>
  <si>
    <t>kWh/100km</t>
  </si>
  <si>
    <t>Electrical</t>
  </si>
  <si>
    <t>Number of  tank stops</t>
  </si>
  <si>
    <t>Stops/Day</t>
  </si>
  <si>
    <t>Average energy consumption</t>
  </si>
  <si>
    <t>Costs per tank</t>
  </si>
  <si>
    <t>Euro/Tank</t>
  </si>
  <si>
    <t>Battery capacity</t>
  </si>
  <si>
    <t>kWh</t>
  </si>
  <si>
    <r>
      <t>kg CO</t>
    </r>
    <r>
      <rPr>
        <vertAlign val="subscript"/>
        <sz val="10"/>
        <rFont val="Tahoma"/>
        <family val="2"/>
      </rPr>
      <t>2</t>
    </r>
    <r>
      <rPr>
        <sz val="10"/>
        <rFont val="Tahoma"/>
        <family val="2"/>
      </rPr>
      <t>/Year</t>
    </r>
  </si>
  <si>
    <t>Battery capacity loss (after 1000 cycles)</t>
  </si>
  <si>
    <t>%/Cycle</t>
  </si>
  <si>
    <t>Battery leasing</t>
  </si>
  <si>
    <t>Battery replacement</t>
  </si>
  <si>
    <t>Battery capacity losses</t>
  </si>
  <si>
    <t>%/Year</t>
  </si>
  <si>
    <t>Maximal range (NEFZ)</t>
  </si>
  <si>
    <t>Number of bat.loads</t>
  </si>
  <si>
    <t>Loads/Day</t>
  </si>
  <si>
    <t>Energy demand (incl.loading losses)</t>
  </si>
  <si>
    <t>Costs per loading</t>
  </si>
  <si>
    <t>Euro/Load</t>
  </si>
  <si>
    <t>Specific battery costs</t>
  </si>
  <si>
    <t>Euro/kWh</t>
  </si>
  <si>
    <t>Car #2</t>
  </si>
  <si>
    <t>Ioniq electric Premium (DE) - 1/2018 | 8/2019</t>
  </si>
  <si>
    <t>Average fuel consumption</t>
  </si>
  <si>
    <t>RESULTS</t>
  </si>
  <si>
    <t>Martin mit 15000</t>
  </si>
  <si>
    <t>Car</t>
  </si>
  <si>
    <t>Truck</t>
  </si>
  <si>
    <t>Petrol</t>
  </si>
  <si>
    <t>City</t>
  </si>
  <si>
    <t>Diesel</t>
  </si>
  <si>
    <t>Natural gas</t>
  </si>
  <si>
    <t>Type 1</t>
  </si>
  <si>
    <t>Type 2</t>
  </si>
  <si>
    <t>Car Leasing</t>
  </si>
  <si>
    <t>Electricity demand</t>
  </si>
  <si>
    <t>Energy density</t>
  </si>
  <si>
    <t>CO2 Emissions</t>
  </si>
  <si>
    <t>Distance</t>
  </si>
  <si>
    <t>Battery price</t>
  </si>
  <si>
    <t>Capacity decrease</t>
  </si>
  <si>
    <t>Battery weight</t>
  </si>
  <si>
    <t>Tank capacity</t>
  </si>
  <si>
    <t>O&amp;M  Service</t>
  </si>
  <si>
    <t>Insur- eance</t>
  </si>
  <si>
    <t>Weight empty</t>
  </si>
  <si>
    <t>Weight full</t>
  </si>
  <si>
    <t>Source</t>
  </si>
  <si>
    <t>kg</t>
  </si>
  <si>
    <t>Euro/Month</t>
  </si>
  <si>
    <t xml:space="preserve"> </t>
  </si>
  <si>
    <t>C-Zero</t>
  </si>
  <si>
    <t>Citroen</t>
  </si>
  <si>
    <t>http://www.citroen.at/Resources/Content/AT/Preislisten_pdf/Mai_2012/CZero_Produktblatt_2012-05.pdf</t>
  </si>
  <si>
    <t>C-Zero (special offer)</t>
  </si>
  <si>
    <t>C-Zero (special offer + sponsorship)</t>
  </si>
  <si>
    <t>BERLINGO</t>
  </si>
  <si>
    <t>http://www.citroen.at/Resources/Content/AT/Preislisten_pdf/Sept_2012/Berlingo_First_Electrique_Produktblatt_2012-03.pdf</t>
  </si>
  <si>
    <t>FLUENCE Z.E.</t>
  </si>
  <si>
    <t>Renault</t>
  </si>
  <si>
    <t>http://typo3.p163919.mittwaldserver.info/fileadmin/user_upload/Preisliste_Fluence_ZE.pdf</t>
  </si>
  <si>
    <t>Zoe Life</t>
  </si>
  <si>
    <t>http://www.renault.at/media/-pdf-preisliste-/attc8cab3480dc04ba685a12fd98f2ee22b/PL_Zoe.pdf</t>
  </si>
  <si>
    <t>Zoe Life (LeasePlan)</t>
  </si>
  <si>
    <t>KANGOO Z.E. 2Sitzer</t>
  </si>
  <si>
    <t>http://www.renault.at/media/-pdf-preisliste-/att00334421/PL_Kangoo_ZE.pdf</t>
  </si>
  <si>
    <t>KANGOO Z.E. Maxi 2Sitzer</t>
  </si>
  <si>
    <t>KANGOO Z.E. Maxi 5Sitzer</t>
  </si>
  <si>
    <t>KANGOO Z.E. 2Sitzer (LeasePlan)</t>
  </si>
  <si>
    <t>KANGOO Z.E. Maxi 2Sitzer (LeasePlan)</t>
  </si>
  <si>
    <t>KANGOO Z.E. Maxi 5Sitzer (LeasePlan)</t>
  </si>
  <si>
    <t>i3</t>
  </si>
  <si>
    <t>BMW</t>
  </si>
  <si>
    <t>https://www.bmw.at/dam/bmw/bmw_at/rfi-downloads/newvehicles/neufahrzeuge/bmw-i/bmw-i3/BMWi3_Preisliste.pdf.download.1378199453171.pdf</t>
  </si>
  <si>
    <t>i3 (Leaseplan)</t>
  </si>
  <si>
    <t>i3 mit Range Extender (Leaseplan)</t>
  </si>
  <si>
    <t>TWIZY</t>
  </si>
  <si>
    <t>http://typo3.p163919.mittwaldserver.info/fileadmin/user_upload/Broschuere_Twizy_120413.pdf</t>
  </si>
  <si>
    <t>TWIZY 45</t>
  </si>
  <si>
    <t>http://typo3.p163919.mittwaldserver.info/fileadmin/user_upload/Preisliste_Twizy.pdf</t>
  </si>
  <si>
    <t>Model S 85</t>
  </si>
  <si>
    <t>Tesla</t>
  </si>
  <si>
    <t>http://www.teslamotors.com/de_AT/models/</t>
  </si>
  <si>
    <t>Model S 85 (10/2015)</t>
  </si>
  <si>
    <t>Ioniq electric Premium (AT)</t>
  </si>
  <si>
    <t>Hyundai</t>
  </si>
  <si>
    <t>https://www.hyundai.at/Showroom/Cars/IONIQ-Elektro.aspx</t>
  </si>
  <si>
    <t>Ioniq electric Premium (DE) - 1/2018 | 8/2021</t>
  </si>
  <si>
    <t>Enyaq iV Sportline 60</t>
  </si>
  <si>
    <t>Skoda</t>
  </si>
  <si>
    <t>https://www.skoda.at/enyaq-iv/enyaq-iv</t>
  </si>
  <si>
    <t>Leaf 2 N-Connecta</t>
  </si>
  <si>
    <t>Nissan</t>
  </si>
  <si>
    <t>https://www.nissan.at/fahrzeuge/neuwagen/leaf.html</t>
  </si>
  <si>
    <t>Leaf 2 N-Connecta (eTaxi sponsorship)</t>
  </si>
  <si>
    <t>Model S 85D (10/2015)</t>
  </si>
  <si>
    <t>e-Golf</t>
  </si>
  <si>
    <t>Volskwagen</t>
  </si>
  <si>
    <t>http://www.volkswagen.de/content/medialib/vwd4/de/dialog/pdf/golf-a7/egolf_preisliste/_jcr_content/renditions/rendition.download_attachment.file/e-golf_preisliste.pdf</t>
  </si>
  <si>
    <t>C1</t>
  </si>
  <si>
    <t>take up! BMT 1.0</t>
  </si>
  <si>
    <t>Volkswagen</t>
  </si>
  <si>
    <t>http://www.volkswagen.at/media/Kwc_Basic_DownloadTag_Component/337-2529-downloads-47578-downloadTag/default/fd2c1c6fc0719d6d41e1236645b8bdb1/1352357333/up_preisliste_11_2012_web.pdf</t>
  </si>
  <si>
    <t>A3 Sportback 1.5 TFSI 7-Gang S tronic sport</t>
  </si>
  <si>
    <t>Audi</t>
  </si>
  <si>
    <t>https://www.audi.at/a3/a3-sportback/preisliste-und-katalog</t>
  </si>
  <si>
    <t>A6 3.0 TFSI quattro</t>
  </si>
  <si>
    <t>http://www.audi.at/a6/a6_limousine/preisliste_und_katalog</t>
  </si>
  <si>
    <t>A6 2.0 TFSI multitronic</t>
  </si>
  <si>
    <t>http://video.audi.at/files/at/element/file_download/audi_a6_preisliste_03_2014.pdf</t>
  </si>
  <si>
    <t>Auris 4 D-4D</t>
  </si>
  <si>
    <t>Toyota</t>
  </si>
  <si>
    <t>http://www.volkswagen.at/media/Kwc_Basic_DownloadTag_Component/11337-41475-downloads-53905-downloadTag/default/a2aa4445e73c0c94ce3d10470a19d6bd/1352724576/golf_preisliste_11_2012_web_nr_2.pdf</t>
  </si>
  <si>
    <t>Touran 1,5 TSI ACT 7-Gang-DSG (Thomas)</t>
  </si>
  <si>
    <t>https://www.volkswagen.at/touran</t>
  </si>
  <si>
    <t>E 400 Limousine</t>
  </si>
  <si>
    <t>Mercedes</t>
  </si>
  <si>
    <t>http://wiesenthal.at/images/uploads/neuwagen/Mercedes-Benz/Preislisten/E-KlasseLimousineT-ModellPreisliste04-2015(1).pdf</t>
  </si>
  <si>
    <t>Golf BMT TDI</t>
  </si>
  <si>
    <t>Megane Grandtour dCi110</t>
  </si>
  <si>
    <t>Megane Grandtour dCi110 (LeasePlan)</t>
  </si>
  <si>
    <t>535i</t>
  </si>
  <si>
    <t>https://www.bmw.at/de/neufahrzeuge/5/limousine/2013/start.html</t>
  </si>
  <si>
    <t>118d</t>
  </si>
  <si>
    <t>https://www.bmw.at/dam/bmw/bmw_at/rfi-downloads/newvehicles/neufahrzeuge/bmw-1er/3-tuerer-5tuerer/KPL_07-13_1er_F20_F21.pdf.download.1372326353155.pdf</t>
  </si>
  <si>
    <t>i30 Fastback 1.0T - GDI - Level 3</t>
  </si>
  <si>
    <t>1255 - 1409</t>
  </si>
  <si>
    <t>https://www.hyundai.at/Showroom/Cars/Der-neue-i30-Fastback.aspx</t>
  </si>
  <si>
    <t>i30 Fastback 1.4T - GDI - Level 4</t>
  </si>
  <si>
    <t>i30 Fastback 1.4T - GDI - Level 4 1/2018 | 8/2021</t>
  </si>
  <si>
    <t>i30 Kombi 1.0 T-GDI Level 3</t>
  </si>
  <si>
    <t>https://www.hyundai.at/Showroom/Cars/Der-neue-i30-Kombi.aspx</t>
  </si>
  <si>
    <t>Qashqai N-Connecta 1.2 DIG-T</t>
  </si>
  <si>
    <t>https://www.nissan.at/fahrzeuge/neuwagen/qashqai.html</t>
  </si>
  <si>
    <t>318d A Touring</t>
  </si>
  <si>
    <t>https://www.bmw.at/dam/bmw/bmw_at/rfi-downloads/newvehicles/neufahrzeuge/bmw-3er/touring/KPL_07-13_3er_Touring_F31.pdf.download.1371025926905.pdf</t>
  </si>
  <si>
    <t>Roadster</t>
  </si>
  <si>
    <t>Roadster Sport</t>
  </si>
  <si>
    <t>Model S</t>
  </si>
  <si>
    <t>Datensammlung</t>
  </si>
  <si>
    <t>Batt miete</t>
  </si>
  <si>
    <t>Smart fortwo passion mhd</t>
  </si>
  <si>
    <t>Super</t>
  </si>
  <si>
    <t>-</t>
  </si>
  <si>
    <t>Smart fortwo electric drive</t>
  </si>
  <si>
    <t>Strom</t>
  </si>
  <si>
    <t>Smart fortwo passion cdi</t>
  </si>
  <si>
    <t>Renault Kangoo 1.6 16V 105</t>
  </si>
  <si>
    <t>Renault Kangoo Z.E.</t>
  </si>
  <si>
    <t>Renault Kangoo dCi 75</t>
  </si>
  <si>
    <t>Citroen C1 (1.0 Benzin, EGS)</t>
  </si>
  <si>
    <t>Citroen C-Zero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</si>
</sst>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3" formatCode="_-* #,##0.00_-;\-* #,##0.00_-;_-* &quot;-&quot;??_-;_-@_-"/>
    <numFmt numFmtId="164" formatCode="#,##0_ ;[Red]\-#,##0\ "/>
    <numFmt numFmtId="165" formatCode="0.0%"/>
    <numFmt numFmtId="166" formatCode="0.00000"/>
    <numFmt numFmtId="167" formatCode="#,##0.00_ ;[Red]\-#,##0.00\ "/>
    <numFmt numFmtId="168" formatCode="0.0_ ;[Red]\-0.0\ "/>
    <numFmt numFmtId="169" formatCode="0.0"/>
    <numFmt numFmtId="170" formatCode="0.000000"/>
    <numFmt numFmtId="171" formatCode="#,##0.0_ ;[Red]\-#,##0.0\ "/>
    <numFmt numFmtId="172" formatCode="#.#&quot; hours&quot;"/>
    <numFmt numFmtId="173" formatCode="#&quot; miles&quot;"/>
    <numFmt numFmtId="174" formatCode="#&quot; km&quot;"/>
    <numFmt numFmtId="175" formatCode="\$#,##0.00"/>
    <numFmt numFmtId="176" formatCode="#.0&quot; €&quot;"/>
    <numFmt numFmtId="177" formatCode="#,##0.000"/>
    <numFmt numFmtId="178" formatCode="_-* #,##0.00\ _D_M_-;\-* #,##0.00\ _D_M_-;_-* &quot;-&quot;??\ _D_M_-;_-@_-"/>
    <numFmt numFmtId="179" formatCode="_-* #,##0\ &quot;€&quot;_-;\-* #,##0\ &quot;€&quot;_-;_-* &quot;-&quot;??\ &quot;€&quot;_-;_-@_-"/>
    <numFmt numFmtId="180" formatCode="#,##0\ &quot;€/kWp&quot;"/>
    <numFmt numFmtId="181" formatCode="0\ &quot;Jahre&quot;"/>
    <numFmt numFmtId="182" formatCode="#,##0.0\ &quot;kWp&quot;"/>
    <numFmt numFmtId="183" formatCode="_-* #,##0.00\ [$€-1]_-;\-* #,##0.00\ [$€-1]_-;_-* &quot;-&quot;??\ [$€-1]_-"/>
    <numFmt numFmtId="184" formatCode="0.000"/>
    <numFmt numFmtId="185" formatCode="#,##0.0"/>
    <numFmt numFmtId="186" formatCode="0.00_ ;[Red]\-0.00\ "/>
    <numFmt numFmtId="187" formatCode="0_ ;[Red]\-0\ "/>
  </numFmts>
  <fonts count="44" x14ac:knownFonts="1">
    <font>
      <sz val="11"/>
      <color theme="1"/>
      <name val="Calibri"/>
      <family val="2"/>
      <scheme val="minor"/>
    </font>
    <font>
      <sz val="10"/>
      <name val="Tahoma"/>
      <family val="2"/>
    </font>
    <font>
      <b/>
      <sz val="10"/>
      <name val="Tahoma"/>
      <family val="2"/>
    </font>
    <font>
      <sz val="8"/>
      <name val="Tahoma"/>
      <family val="2"/>
    </font>
    <font>
      <sz val="10"/>
      <color indexed="81"/>
      <name val="Arial"/>
      <family val="2"/>
    </font>
    <font>
      <sz val="9"/>
      <color indexed="81"/>
      <name val="Tahoma"/>
      <family val="2"/>
    </font>
    <font>
      <sz val="8"/>
      <color indexed="81"/>
      <name val="Tahoma"/>
      <family val="2"/>
    </font>
    <font>
      <sz val="10"/>
      <color indexed="81"/>
      <name val="Tahoma"/>
      <family val="2"/>
    </font>
    <font>
      <sz val="11"/>
      <color indexed="8"/>
      <name val="Calibri"/>
      <family val="2"/>
    </font>
    <font>
      <sz val="10"/>
      <name val="Arial"/>
      <family val="2"/>
    </font>
    <font>
      <sz val="10"/>
      <color indexed="18"/>
      <name val="Arial"/>
      <family val="2"/>
    </font>
    <font>
      <u/>
      <sz val="10"/>
      <color indexed="12"/>
      <name val="Arial"/>
      <family val="2"/>
    </font>
    <font>
      <u/>
      <sz val="10"/>
      <name val="Arial"/>
      <family val="2"/>
    </font>
    <font>
      <vertAlign val="subscript"/>
      <sz val="10"/>
      <name val="Tahoma"/>
      <family val="2"/>
    </font>
    <font>
      <b/>
      <vertAlign val="subscript"/>
      <sz val="10"/>
      <name val="Tahoma"/>
      <family val="2"/>
    </font>
    <font>
      <b/>
      <sz val="9"/>
      <color indexed="81"/>
      <name val="Tahoma"/>
      <family val="2"/>
    </font>
    <font>
      <b/>
      <sz val="10"/>
      <color indexed="81"/>
      <name val="Tahoma"/>
      <family val="2"/>
    </font>
    <font>
      <b/>
      <sz val="11"/>
      <name val="Tahoma"/>
      <family val="2"/>
    </font>
    <font>
      <sz val="11"/>
      <color theme="1"/>
      <name val="Calibri"/>
      <family val="2"/>
      <scheme val="minor"/>
    </font>
    <font>
      <u/>
      <sz val="9.35"/>
      <color theme="10"/>
      <name val="Calibri"/>
      <family val="2"/>
    </font>
    <font>
      <sz val="11"/>
      <color rgb="FFFF0000"/>
      <name val="Calibri"/>
      <family val="2"/>
      <scheme val="minor"/>
    </font>
    <font>
      <b/>
      <sz val="10"/>
      <color theme="0"/>
      <name val="Tahoma"/>
      <family val="2"/>
    </font>
    <font>
      <sz val="10"/>
      <color theme="0"/>
      <name val="Tahoma"/>
      <family val="2"/>
    </font>
    <font>
      <sz val="8"/>
      <color theme="0" tint="-0.34998626667073579"/>
      <name val="Tahoma"/>
      <family val="2"/>
    </font>
    <font>
      <sz val="10"/>
      <color theme="0" tint="-0.34998626667073579"/>
      <name val="Tahoma"/>
      <family val="2"/>
    </font>
    <font>
      <sz val="10"/>
      <color theme="0" tint="-0.14999847407452621"/>
      <name val="Tahoma"/>
      <family val="2"/>
    </font>
    <font>
      <b/>
      <sz val="10"/>
      <color theme="0" tint="-0.14999847407452621"/>
      <name val="Tahoma"/>
      <family val="2"/>
    </font>
    <font>
      <sz val="10"/>
      <color rgb="FFFF0000"/>
      <name val="Tahoma"/>
      <family val="2"/>
    </font>
    <font>
      <b/>
      <sz val="10"/>
      <color rgb="FFFF0000"/>
      <name val="Arial"/>
      <family val="2"/>
    </font>
    <font>
      <b/>
      <sz val="12"/>
      <color rgb="FFFF0000"/>
      <name val="Arial"/>
      <family val="2"/>
    </font>
    <font>
      <sz val="10"/>
      <color theme="0" tint="-0.249977111117893"/>
      <name val="Tahoma"/>
      <family val="2"/>
    </font>
    <font>
      <b/>
      <sz val="55"/>
      <color theme="0"/>
      <name val="Tahoma"/>
      <family val="2"/>
    </font>
    <font>
      <sz val="10"/>
      <color theme="0" tint="-0.499984740745262"/>
      <name val="Tahoma"/>
      <family val="2"/>
    </font>
    <font>
      <sz val="8"/>
      <color theme="0" tint="-0.499984740745262"/>
      <name val="Tahoma"/>
      <family val="2"/>
    </font>
    <font>
      <sz val="10"/>
      <color rgb="FFFFFF00"/>
      <name val="Tahoma"/>
      <family val="2"/>
    </font>
    <font>
      <b/>
      <sz val="8"/>
      <color theme="0" tint="-0.34998626667073579"/>
      <name val="Tahoma"/>
      <family val="2"/>
    </font>
    <font>
      <b/>
      <sz val="10"/>
      <color theme="0" tint="-0.34998626667073579"/>
      <name val="Tahoma"/>
      <family val="2"/>
    </font>
    <font>
      <b/>
      <sz val="48"/>
      <color theme="0"/>
      <name val="Tahoma"/>
      <family val="2"/>
    </font>
    <font>
      <sz val="11"/>
      <color rgb="FFFFFF00"/>
      <name val="Tahoma"/>
      <family val="2"/>
    </font>
    <font>
      <sz val="10"/>
      <color theme="1"/>
      <name val="Tahoma"/>
      <family val="2"/>
    </font>
    <font>
      <sz val="10"/>
      <color theme="1"/>
      <name val="Calibri"/>
      <family val="2"/>
      <scheme val="minor"/>
    </font>
    <font>
      <b/>
      <sz val="12"/>
      <color theme="0"/>
      <name val="Tahoma"/>
      <family val="2"/>
    </font>
    <font>
      <i/>
      <sz val="11"/>
      <color theme="1"/>
      <name val="Calibri"/>
      <family val="2"/>
      <scheme val="minor"/>
    </font>
    <font>
      <b/>
      <sz val="11"/>
      <color rgb="FFFFFF00"/>
      <name val="Tahoma"/>
      <family val="2"/>
    </font>
  </fonts>
  <fills count="18">
    <fill>
      <patternFill patternType="none"/>
    </fill>
    <fill>
      <patternFill patternType="gray125"/>
    </fill>
    <fill>
      <patternFill patternType="solid">
        <fgColor indexed="51"/>
        <bgColor indexed="64"/>
      </patternFill>
    </fill>
    <fill>
      <patternFill patternType="solid">
        <fgColor indexed="45"/>
        <bgColor indexed="64"/>
      </patternFill>
    </fill>
    <fill>
      <patternFill patternType="solid">
        <fgColor theme="0"/>
        <bgColor indexed="64"/>
      </patternFill>
    </fill>
    <fill>
      <patternFill patternType="solid">
        <fgColor theme="8" tint="-0.249977111117893"/>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9"/>
      </patternFill>
    </fill>
    <fill>
      <patternFill patternType="solid">
        <fgColor theme="0"/>
        <bgColor indexed="26"/>
      </patternFill>
    </fill>
    <fill>
      <patternFill patternType="solid">
        <fgColor rgb="FFC0000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2" tint="-0.249977111117893"/>
        <bgColor indexed="64"/>
      </patternFill>
    </fill>
    <fill>
      <patternFill patternType="solid">
        <fgColor rgb="FFC2EDC5"/>
        <bgColor indexed="64"/>
      </patternFill>
    </fill>
    <fill>
      <patternFill patternType="solid">
        <fgColor rgb="FFEBEDED"/>
        <bgColor indexed="64"/>
      </patternFill>
    </fill>
    <fill>
      <patternFill patternType="solid">
        <fgColor theme="2" tint="-0.24994659260841701"/>
        <bgColor indexed="64"/>
      </patternFill>
    </fill>
  </fills>
  <borders count="35">
    <border>
      <left/>
      <right/>
      <top/>
      <bottom/>
      <diagonal/>
    </border>
    <border>
      <left style="medium">
        <color indexed="18"/>
      </left>
      <right style="medium">
        <color indexed="18"/>
      </right>
      <top style="medium">
        <color indexed="18"/>
      </top>
      <bottom style="medium">
        <color indexed="18"/>
      </bottom>
      <diagonal/>
    </border>
    <border>
      <left style="medium">
        <color indexed="58"/>
      </left>
      <right style="medium">
        <color indexed="58"/>
      </right>
      <top style="medium">
        <color indexed="58"/>
      </top>
      <bottom style="medium">
        <color indexed="58"/>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bottom/>
      <diagonal/>
    </border>
  </borders>
  <cellStyleXfs count="21">
    <xf numFmtId="0" fontId="0" fillId="0" borderId="0"/>
    <xf numFmtId="43" fontId="8" fillId="0" borderId="0" applyFont="0" applyFill="0" applyBorder="0" applyAlignment="0" applyProtection="0"/>
    <xf numFmtId="43" fontId="9" fillId="0" borderId="0" applyFont="0" applyFill="0" applyBorder="0" applyAlignment="0" applyProtection="0"/>
    <xf numFmtId="178" fontId="9" fillId="0" borderId="0" applyFont="0" applyFill="0" applyBorder="0" applyAlignment="0" applyProtection="0"/>
    <xf numFmtId="179" fontId="10" fillId="2" borderId="1"/>
    <xf numFmtId="180" fontId="10" fillId="2" borderId="1">
      <protection locked="0"/>
    </xf>
    <xf numFmtId="181" fontId="10" fillId="2" borderId="2"/>
    <xf numFmtId="182" fontId="10" fillId="2" borderId="3">
      <alignment vertical="justify"/>
      <protection locked="0"/>
    </xf>
    <xf numFmtId="165" fontId="10" fillId="2" borderId="1"/>
    <xf numFmtId="0" fontId="10" fillId="2" borderId="1"/>
    <xf numFmtId="183" fontId="9" fillId="0" borderId="0" applyFont="0" applyFill="0" applyBorder="0" applyAlignment="0" applyProtection="0"/>
    <xf numFmtId="0" fontId="11" fillId="0" borderId="0" applyNumberFormat="0" applyFill="0" applyBorder="0" applyAlignment="0" applyProtection="0"/>
    <xf numFmtId="0" fontId="19" fillId="0" borderId="0" applyNumberFormat="0" applyFill="0" applyBorder="0" applyAlignment="0" applyProtection="0">
      <alignment vertical="top"/>
      <protection locked="0"/>
    </xf>
    <xf numFmtId="0" fontId="12" fillId="3" borderId="4">
      <alignment horizontal="center" vertical="center"/>
    </xf>
    <xf numFmtId="43" fontId="18" fillId="0" borderId="0" applyFont="0" applyFill="0" applyBorder="0" applyAlignment="0" applyProtection="0"/>
    <xf numFmtId="0" fontId="8" fillId="0" borderId="0"/>
    <xf numFmtId="9" fontId="18"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cellStyleXfs>
  <cellXfs count="282">
    <xf numFmtId="0" fontId="0" fillId="0" borderId="0" xfId="0"/>
    <xf numFmtId="0" fontId="1" fillId="4" borderId="0" xfId="0" applyFont="1" applyFill="1"/>
    <xf numFmtId="0" fontId="21" fillId="5" borderId="0" xfId="0" applyFont="1" applyFill="1"/>
    <xf numFmtId="0" fontId="1" fillId="4" borderId="5" xfId="0" applyFont="1" applyFill="1" applyBorder="1"/>
    <xf numFmtId="164" fontId="1" fillId="4" borderId="5" xfId="0" applyNumberFormat="1" applyFont="1" applyFill="1" applyBorder="1" applyAlignment="1">
      <alignment horizontal="right"/>
    </xf>
    <xf numFmtId="0" fontId="22" fillId="4" borderId="0" xfId="0" applyFont="1" applyFill="1"/>
    <xf numFmtId="0" fontId="1" fillId="4" borderId="6" xfId="0" applyFont="1" applyFill="1" applyBorder="1"/>
    <xf numFmtId="165" fontId="1" fillId="4" borderId="6" xfId="16" applyNumberFormat="1" applyFont="1" applyFill="1" applyBorder="1" applyAlignment="1">
      <alignment horizontal="right"/>
    </xf>
    <xf numFmtId="0" fontId="1" fillId="4" borderId="6" xfId="0" applyFont="1" applyFill="1" applyBorder="1" applyAlignment="1">
      <alignment horizontal="center"/>
    </xf>
    <xf numFmtId="0" fontId="1" fillId="4" borderId="7" xfId="0" applyFont="1" applyFill="1" applyBorder="1"/>
    <xf numFmtId="0" fontId="1" fillId="4" borderId="0" xfId="0" applyFont="1" applyFill="1" applyAlignment="1">
      <alignment horizontal="center"/>
    </xf>
    <xf numFmtId="0" fontId="2" fillId="4" borderId="0" xfId="0" applyFont="1" applyFill="1"/>
    <xf numFmtId="0" fontId="3" fillId="4" borderId="8" xfId="0" applyFont="1" applyFill="1" applyBorder="1" applyAlignment="1">
      <alignment horizontal="center"/>
    </xf>
    <xf numFmtId="0" fontId="3" fillId="4" borderId="9" xfId="0" applyFont="1" applyFill="1" applyBorder="1" applyAlignment="1">
      <alignment horizontal="center"/>
    </xf>
    <xf numFmtId="0" fontId="3" fillId="4" borderId="10" xfId="0" applyFont="1" applyFill="1" applyBorder="1" applyAlignment="1">
      <alignment horizontal="center"/>
    </xf>
    <xf numFmtId="0" fontId="23" fillId="4" borderId="9" xfId="0" applyFont="1" applyFill="1" applyBorder="1" applyAlignment="1">
      <alignment horizontal="center"/>
    </xf>
    <xf numFmtId="0" fontId="23" fillId="4" borderId="11" xfId="0" applyFont="1" applyFill="1" applyBorder="1" applyAlignment="1">
      <alignment horizontal="center"/>
    </xf>
    <xf numFmtId="0" fontId="3" fillId="4" borderId="0" xfId="0" applyFont="1" applyFill="1" applyAlignment="1">
      <alignment horizontal="center"/>
    </xf>
    <xf numFmtId="164" fontId="1" fillId="4" borderId="0" xfId="14" applyNumberFormat="1" applyFont="1" applyFill="1" applyAlignment="1">
      <alignment horizontal="center"/>
    </xf>
    <xf numFmtId="164" fontId="1" fillId="4" borderId="0" xfId="0" applyNumberFormat="1" applyFont="1" applyFill="1" applyAlignment="1">
      <alignment horizontal="center"/>
    </xf>
    <xf numFmtId="9" fontId="24" fillId="4" borderId="4" xfId="16" applyFont="1" applyFill="1" applyBorder="1" applyAlignment="1">
      <alignment horizontal="center"/>
    </xf>
    <xf numFmtId="164" fontId="1" fillId="4" borderId="0" xfId="14" applyNumberFormat="1" applyFont="1" applyFill="1"/>
    <xf numFmtId="164" fontId="1" fillId="4" borderId="12" xfId="14" applyNumberFormat="1" applyFont="1" applyFill="1" applyBorder="1" applyAlignment="1">
      <alignment horizontal="center"/>
    </xf>
    <xf numFmtId="164" fontId="1" fillId="4" borderId="6" xfId="14" applyNumberFormat="1" applyFont="1" applyFill="1" applyBorder="1" applyAlignment="1">
      <alignment horizontal="center"/>
    </xf>
    <xf numFmtId="167" fontId="1" fillId="4" borderId="6" xfId="14" applyNumberFormat="1" applyFont="1" applyFill="1" applyBorder="1" applyAlignment="1">
      <alignment horizontal="center"/>
    </xf>
    <xf numFmtId="164" fontId="1" fillId="4" borderId="12" xfId="0" applyNumberFormat="1" applyFont="1" applyFill="1" applyBorder="1" applyAlignment="1">
      <alignment horizontal="center"/>
    </xf>
    <xf numFmtId="164" fontId="1" fillId="4" borderId="13" xfId="14" applyNumberFormat="1" applyFont="1" applyFill="1" applyBorder="1" applyAlignment="1">
      <alignment horizontal="center"/>
    </xf>
    <xf numFmtId="164" fontId="1" fillId="4" borderId="4" xfId="14" applyNumberFormat="1" applyFont="1" applyFill="1" applyBorder="1" applyAlignment="1">
      <alignment horizontal="center"/>
    </xf>
    <xf numFmtId="166" fontId="23" fillId="4" borderId="6" xfId="0" applyNumberFormat="1" applyFont="1" applyFill="1" applyBorder="1" applyAlignment="1">
      <alignment horizontal="center"/>
    </xf>
    <xf numFmtId="9" fontId="1" fillId="4" borderId="6" xfId="16" applyFont="1" applyFill="1" applyBorder="1" applyAlignment="1">
      <alignment horizontal="right"/>
    </xf>
    <xf numFmtId="164" fontId="2" fillId="6" borderId="12" xfId="14" applyNumberFormat="1" applyFont="1" applyFill="1" applyBorder="1" applyAlignment="1">
      <alignment horizontal="center"/>
    </xf>
    <xf numFmtId="164" fontId="2" fillId="6" borderId="6" xfId="14" applyNumberFormat="1" applyFont="1" applyFill="1" applyBorder="1" applyAlignment="1">
      <alignment horizontal="center"/>
    </xf>
    <xf numFmtId="167" fontId="2" fillId="6" borderId="6" xfId="14" applyNumberFormat="1" applyFont="1" applyFill="1" applyBorder="1" applyAlignment="1">
      <alignment horizontal="center"/>
    </xf>
    <xf numFmtId="164" fontId="2" fillId="6" borderId="12" xfId="0" applyNumberFormat="1" applyFont="1" applyFill="1" applyBorder="1" applyAlignment="1">
      <alignment horizontal="center"/>
    </xf>
    <xf numFmtId="164" fontId="2" fillId="6" borderId="13" xfId="14" applyNumberFormat="1" applyFont="1" applyFill="1" applyBorder="1" applyAlignment="1">
      <alignment horizontal="center"/>
    </xf>
    <xf numFmtId="164" fontId="2" fillId="6" borderId="4" xfId="14" applyNumberFormat="1" applyFont="1" applyFill="1" applyBorder="1" applyAlignment="1">
      <alignment horizontal="center"/>
    </xf>
    <xf numFmtId="164" fontId="1" fillId="4" borderId="0" xfId="0" applyNumberFormat="1" applyFont="1" applyFill="1"/>
    <xf numFmtId="0" fontId="3" fillId="4" borderId="0" xfId="0" applyFont="1" applyFill="1"/>
    <xf numFmtId="1" fontId="1" fillId="4" borderId="6" xfId="0" applyNumberFormat="1" applyFont="1" applyFill="1" applyBorder="1"/>
    <xf numFmtId="164" fontId="25" fillId="7" borderId="12" xfId="14" applyNumberFormat="1" applyFont="1" applyFill="1" applyBorder="1" applyAlignment="1">
      <alignment horizontal="center"/>
    </xf>
    <xf numFmtId="164" fontId="1" fillId="7" borderId="6" xfId="14" applyNumberFormat="1" applyFont="1" applyFill="1" applyBorder="1" applyAlignment="1">
      <alignment horizontal="center"/>
    </xf>
    <xf numFmtId="167" fontId="1" fillId="7" borderId="6" xfId="14" applyNumberFormat="1" applyFont="1" applyFill="1" applyBorder="1" applyAlignment="1">
      <alignment horizontal="center"/>
    </xf>
    <xf numFmtId="164" fontId="1" fillId="7" borderId="12" xfId="0" applyNumberFormat="1" applyFont="1" applyFill="1" applyBorder="1" applyAlignment="1">
      <alignment horizontal="center"/>
    </xf>
    <xf numFmtId="164" fontId="1" fillId="7" borderId="13" xfId="14" applyNumberFormat="1" applyFont="1" applyFill="1" applyBorder="1" applyAlignment="1">
      <alignment horizontal="center"/>
    </xf>
    <xf numFmtId="164" fontId="1" fillId="7" borderId="4" xfId="14" applyNumberFormat="1" applyFont="1" applyFill="1" applyBorder="1" applyAlignment="1">
      <alignment horizontal="center"/>
    </xf>
    <xf numFmtId="169" fontId="1" fillId="4" borderId="6" xfId="0" applyNumberFormat="1" applyFont="1" applyFill="1" applyBorder="1"/>
    <xf numFmtId="3" fontId="1" fillId="4" borderId="6" xfId="0" applyNumberFormat="1" applyFont="1" applyFill="1" applyBorder="1"/>
    <xf numFmtId="0" fontId="2" fillId="8" borderId="6" xfId="0" applyFont="1" applyFill="1" applyBorder="1"/>
    <xf numFmtId="164" fontId="26" fillId="7" borderId="8" xfId="14" applyNumberFormat="1" applyFont="1" applyFill="1" applyBorder="1" applyAlignment="1">
      <alignment horizontal="center"/>
    </xf>
    <xf numFmtId="0" fontId="1" fillId="4" borderId="6" xfId="0" applyFont="1" applyFill="1" applyBorder="1" applyAlignment="1">
      <alignment horizontal="left"/>
    </xf>
    <xf numFmtId="164" fontId="1" fillId="4" borderId="14" xfId="14" applyNumberFormat="1" applyFont="1" applyFill="1" applyBorder="1" applyAlignment="1">
      <alignment horizontal="center"/>
    </xf>
    <xf numFmtId="0" fontId="1" fillId="4" borderId="0" xfId="0" applyFont="1" applyFill="1" applyAlignment="1">
      <alignment horizontal="left"/>
    </xf>
    <xf numFmtId="0" fontId="1" fillId="4" borderId="0" xfId="14" applyNumberFormat="1" applyFont="1" applyFill="1" applyAlignment="1">
      <alignment horizontal="left"/>
    </xf>
    <xf numFmtId="169" fontId="1" fillId="4" borderId="0" xfId="0" applyNumberFormat="1" applyFont="1" applyFill="1"/>
    <xf numFmtId="165" fontId="1" fillId="4" borderId="0" xfId="0" applyNumberFormat="1" applyFont="1" applyFill="1"/>
    <xf numFmtId="0" fontId="2" fillId="8" borderId="7" xfId="0" applyFont="1" applyFill="1" applyBorder="1" applyAlignment="1">
      <alignment horizontal="left"/>
    </xf>
    <xf numFmtId="0" fontId="2" fillId="8" borderId="7" xfId="0" applyFont="1" applyFill="1" applyBorder="1"/>
    <xf numFmtId="165" fontId="1" fillId="4" borderId="0" xfId="14" applyNumberFormat="1" applyFont="1" applyFill="1" applyAlignment="1">
      <alignment horizontal="right"/>
    </xf>
    <xf numFmtId="166" fontId="1" fillId="4" borderId="0" xfId="0" applyNumberFormat="1" applyFont="1" applyFill="1"/>
    <xf numFmtId="0" fontId="2" fillId="4" borderId="0" xfId="0" applyFont="1" applyFill="1" applyAlignment="1">
      <alignment horizontal="center"/>
    </xf>
    <xf numFmtId="9" fontId="1" fillId="4" borderId="0" xfId="16" applyFont="1" applyFill="1"/>
    <xf numFmtId="164" fontId="1" fillId="4" borderId="0" xfId="14" applyNumberFormat="1" applyFont="1" applyFill="1" applyAlignment="1">
      <alignment horizontal="right"/>
    </xf>
    <xf numFmtId="2" fontId="1" fillId="4" borderId="0" xfId="0" applyNumberFormat="1" applyFont="1" applyFill="1"/>
    <xf numFmtId="3" fontId="2" fillId="8" borderId="6" xfId="0" applyNumberFormat="1" applyFont="1" applyFill="1" applyBorder="1"/>
    <xf numFmtId="0" fontId="1" fillId="4" borderId="5" xfId="0" applyFont="1" applyFill="1" applyBorder="1" applyAlignment="1">
      <alignment horizontal="left"/>
    </xf>
    <xf numFmtId="0" fontId="27" fillId="4" borderId="0" xfId="0" applyFont="1" applyFill="1"/>
    <xf numFmtId="0" fontId="27" fillId="4" borderId="0" xfId="0" applyFont="1" applyFill="1" applyAlignment="1">
      <alignment horizontal="center"/>
    </xf>
    <xf numFmtId="0" fontId="28" fillId="4" borderId="0" xfId="0" applyFont="1" applyFill="1" applyAlignment="1">
      <alignment horizontal="left"/>
    </xf>
    <xf numFmtId="0" fontId="20" fillId="4" borderId="0" xfId="0" applyFont="1" applyFill="1"/>
    <xf numFmtId="0" fontId="29" fillId="4" borderId="0" xfId="0" applyFont="1" applyFill="1"/>
    <xf numFmtId="0" fontId="28" fillId="9" borderId="0" xfId="0" applyFont="1" applyFill="1" applyAlignment="1">
      <alignment horizontal="center" vertical="center" wrapText="1"/>
    </xf>
    <xf numFmtId="0" fontId="28" fillId="4" borderId="0" xfId="0" applyFont="1" applyFill="1" applyAlignment="1">
      <alignment horizontal="center" vertical="center" wrapText="1"/>
    </xf>
    <xf numFmtId="0" fontId="20" fillId="4" borderId="0" xfId="0" applyFont="1" applyFill="1" applyAlignment="1">
      <alignment horizontal="left" indent="1"/>
    </xf>
    <xf numFmtId="172" fontId="20" fillId="4" borderId="0" xfId="0" applyNumberFormat="1" applyFont="1" applyFill="1" applyAlignment="1">
      <alignment horizontal="center" vertical="center" wrapText="1"/>
    </xf>
    <xf numFmtId="173" fontId="20" fillId="4" borderId="0" xfId="0" applyNumberFormat="1" applyFont="1" applyFill="1" applyAlignment="1">
      <alignment horizontal="center" vertical="center" wrapText="1"/>
    </xf>
    <xf numFmtId="174" fontId="20" fillId="4" borderId="0" xfId="0" applyNumberFormat="1" applyFont="1" applyFill="1" applyAlignment="1">
      <alignment horizontal="center" vertical="center" wrapText="1"/>
    </xf>
    <xf numFmtId="175" fontId="28" fillId="4" borderId="0" xfId="0" applyNumberFormat="1" applyFont="1" applyFill="1" applyAlignment="1">
      <alignment horizontal="center" vertical="center" wrapText="1"/>
    </xf>
    <xf numFmtId="176" fontId="28" fillId="4" borderId="0" xfId="0" applyNumberFormat="1" applyFont="1" applyFill="1" applyAlignment="1">
      <alignment horizontal="center" vertical="center" wrapText="1"/>
    </xf>
    <xf numFmtId="1" fontId="20" fillId="4" borderId="0" xfId="0" applyNumberFormat="1" applyFont="1" applyFill="1" applyAlignment="1">
      <alignment horizontal="center" vertical="center" wrapText="1"/>
    </xf>
    <xf numFmtId="177" fontId="20" fillId="4" borderId="0" xfId="0" applyNumberFormat="1" applyFont="1" applyFill="1" applyAlignment="1">
      <alignment horizontal="center" vertical="center" wrapText="1"/>
    </xf>
    <xf numFmtId="0" fontId="29" fillId="4" borderId="0" xfId="0" applyFont="1" applyFill="1" applyAlignment="1">
      <alignment horizontal="left"/>
    </xf>
    <xf numFmtId="0" fontId="20" fillId="4" borderId="0" xfId="0" applyFont="1" applyFill="1" applyAlignment="1">
      <alignment horizontal="center" vertical="center" wrapText="1"/>
    </xf>
    <xf numFmtId="0" fontId="28" fillId="4" borderId="0" xfId="0" applyFont="1" applyFill="1"/>
    <xf numFmtId="0" fontId="20" fillId="10" borderId="0" xfId="0" applyFont="1" applyFill="1" applyAlignment="1">
      <alignment horizontal="center" vertical="center"/>
    </xf>
    <xf numFmtId="0" fontId="20" fillId="10" borderId="0" xfId="0" applyFont="1" applyFill="1" applyAlignment="1">
      <alignment horizontal="center" vertical="center" wrapText="1"/>
    </xf>
    <xf numFmtId="2" fontId="20" fillId="9" borderId="0" xfId="0" applyNumberFormat="1" applyFont="1" applyFill="1" applyAlignment="1">
      <alignment horizontal="center" vertical="center" wrapText="1"/>
    </xf>
    <xf numFmtId="0" fontId="20" fillId="10" borderId="0" xfId="0" applyFont="1" applyFill="1" applyAlignment="1">
      <alignment horizontal="right" vertical="center"/>
    </xf>
    <xf numFmtId="0" fontId="20" fillId="10" borderId="0" xfId="0" applyFont="1" applyFill="1" applyAlignment="1">
      <alignment horizontal="left" vertical="center" wrapText="1"/>
    </xf>
    <xf numFmtId="0" fontId="20" fillId="4" borderId="0" xfId="0" applyFont="1" applyFill="1" applyAlignment="1">
      <alignment horizontal="left" vertical="center" wrapText="1"/>
    </xf>
    <xf numFmtId="1" fontId="20" fillId="9" borderId="0" xfId="0" applyNumberFormat="1" applyFont="1" applyFill="1" applyAlignment="1">
      <alignment horizontal="center" vertical="center" wrapText="1"/>
    </xf>
    <xf numFmtId="9" fontId="20" fillId="9" borderId="0" xfId="0" applyNumberFormat="1" applyFont="1" applyFill="1" applyAlignment="1">
      <alignment horizontal="center" vertical="center" wrapText="1"/>
    </xf>
    <xf numFmtId="0" fontId="1" fillId="4" borderId="15" xfId="0" applyFont="1" applyFill="1" applyBorder="1" applyAlignment="1">
      <alignment horizontal="center"/>
    </xf>
    <xf numFmtId="0" fontId="2" fillId="6" borderId="15" xfId="0" applyFont="1" applyFill="1" applyBorder="1" applyAlignment="1">
      <alignment horizontal="center"/>
    </xf>
    <xf numFmtId="0" fontId="1" fillId="7" borderId="15" xfId="0" applyFont="1" applyFill="1" applyBorder="1" applyAlignment="1">
      <alignment horizontal="center"/>
    </xf>
    <xf numFmtId="0" fontId="2" fillId="7" borderId="16" xfId="0" applyFont="1" applyFill="1" applyBorder="1" applyAlignment="1">
      <alignment horizontal="center"/>
    </xf>
    <xf numFmtId="164" fontId="2" fillId="7" borderId="9" xfId="14" applyNumberFormat="1" applyFont="1" applyFill="1" applyBorder="1" applyAlignment="1">
      <alignment horizontal="center"/>
    </xf>
    <xf numFmtId="167" fontId="2" fillId="7" borderId="9" xfId="14" applyNumberFormat="1" applyFont="1" applyFill="1" applyBorder="1" applyAlignment="1">
      <alignment horizontal="center"/>
    </xf>
    <xf numFmtId="164" fontId="2" fillId="7" borderId="8" xfId="0" applyNumberFormat="1" applyFont="1" applyFill="1" applyBorder="1" applyAlignment="1">
      <alignment horizontal="center"/>
    </xf>
    <xf numFmtId="164" fontId="2" fillId="7" borderId="10" xfId="14" applyNumberFormat="1" applyFont="1" applyFill="1" applyBorder="1" applyAlignment="1">
      <alignment horizontal="center"/>
    </xf>
    <xf numFmtId="164" fontId="2" fillId="7" borderId="11" xfId="14" applyNumberFormat="1" applyFont="1" applyFill="1" applyBorder="1" applyAlignment="1">
      <alignment horizontal="center"/>
    </xf>
    <xf numFmtId="0" fontId="3" fillId="4" borderId="17" xfId="0" applyFont="1" applyFill="1" applyBorder="1" applyAlignment="1">
      <alignment horizontal="center"/>
    </xf>
    <xf numFmtId="0" fontId="30" fillId="4" borderId="0" xfId="0" applyFont="1" applyFill="1"/>
    <xf numFmtId="0" fontId="1" fillId="4" borderId="18" xfId="0" applyFont="1" applyFill="1" applyBorder="1" applyAlignment="1">
      <alignment horizontal="center"/>
    </xf>
    <xf numFmtId="0" fontId="2" fillId="4" borderId="19" xfId="0" applyFont="1" applyFill="1" applyBorder="1" applyAlignment="1">
      <alignment horizontal="center" vertical="center" wrapText="1"/>
    </xf>
    <xf numFmtId="4" fontId="1" fillId="4" borderId="20" xfId="0" applyNumberFormat="1" applyFont="1" applyFill="1" applyBorder="1" applyAlignment="1">
      <alignment horizontal="center"/>
    </xf>
    <xf numFmtId="0" fontId="1" fillId="4" borderId="21" xfId="0" applyFont="1" applyFill="1" applyBorder="1" applyAlignment="1">
      <alignment horizontal="center" vertical="center"/>
    </xf>
    <xf numFmtId="3" fontId="1" fillId="4" borderId="22" xfId="0" applyNumberFormat="1" applyFont="1" applyFill="1" applyBorder="1" applyAlignment="1">
      <alignment horizontal="center"/>
    </xf>
    <xf numFmtId="164" fontId="1" fillId="4" borderId="23" xfId="14" applyNumberFormat="1" applyFont="1" applyFill="1" applyBorder="1" applyAlignment="1">
      <alignment horizontal="center"/>
    </xf>
    <xf numFmtId="164" fontId="1" fillId="4" borderId="24" xfId="0" applyNumberFormat="1" applyFont="1" applyFill="1" applyBorder="1" applyAlignment="1">
      <alignment horizontal="center"/>
    </xf>
    <xf numFmtId="164" fontId="1" fillId="4" borderId="25" xfId="14" applyNumberFormat="1" applyFont="1" applyFill="1" applyBorder="1" applyAlignment="1">
      <alignment horizontal="center"/>
    </xf>
    <xf numFmtId="4" fontId="2" fillId="6" borderId="20" xfId="0" applyNumberFormat="1" applyFont="1" applyFill="1" applyBorder="1" applyAlignment="1">
      <alignment horizontal="center"/>
    </xf>
    <xf numFmtId="4" fontId="1" fillId="7" borderId="20" xfId="0" applyNumberFormat="1" applyFont="1" applyFill="1" applyBorder="1" applyAlignment="1">
      <alignment horizontal="center"/>
    </xf>
    <xf numFmtId="4" fontId="2" fillId="7" borderId="21" xfId="0" applyNumberFormat="1" applyFont="1" applyFill="1" applyBorder="1" applyAlignment="1">
      <alignment horizontal="center"/>
    </xf>
    <xf numFmtId="0" fontId="2" fillId="4" borderId="24" xfId="0" applyFont="1" applyFill="1" applyBorder="1" applyAlignment="1">
      <alignment horizontal="center" vertical="center" wrapText="1"/>
    </xf>
    <xf numFmtId="0" fontId="2" fillId="4" borderId="26" xfId="0" applyFont="1" applyFill="1" applyBorder="1" applyAlignment="1">
      <alignment horizontal="center" vertical="center" wrapText="1"/>
    </xf>
    <xf numFmtId="0" fontId="2" fillId="4" borderId="22" xfId="0" applyFont="1" applyFill="1" applyBorder="1" applyAlignment="1">
      <alignment horizontal="center" vertical="center" wrapText="1"/>
    </xf>
    <xf numFmtId="0" fontId="31" fillId="11" borderId="0" xfId="0" applyFont="1" applyFill="1" applyAlignment="1">
      <alignment horizontal="center" vertical="top" textRotation="90"/>
    </xf>
    <xf numFmtId="0" fontId="20" fillId="4" borderId="0" xfId="0" applyFont="1" applyFill="1" applyAlignment="1">
      <alignment horizontal="right" vertical="center" wrapText="1"/>
    </xf>
    <xf numFmtId="10" fontId="1" fillId="4" borderId="0" xfId="0" applyNumberFormat="1" applyFont="1" applyFill="1" applyAlignment="1">
      <alignment horizontal="center"/>
    </xf>
    <xf numFmtId="3" fontId="1" fillId="4" borderId="6" xfId="0" applyNumberFormat="1" applyFont="1" applyFill="1" applyBorder="1" applyAlignment="1">
      <alignment horizontal="right"/>
    </xf>
    <xf numFmtId="169" fontId="1" fillId="4" borderId="6" xfId="0" applyNumberFormat="1" applyFont="1" applyFill="1" applyBorder="1" applyAlignment="1">
      <alignment horizontal="right"/>
    </xf>
    <xf numFmtId="184" fontId="1" fillId="4" borderId="6" xfId="0" applyNumberFormat="1" applyFont="1" applyFill="1" applyBorder="1" applyAlignment="1">
      <alignment horizontal="right"/>
    </xf>
    <xf numFmtId="1" fontId="1" fillId="4" borderId="6" xfId="0" applyNumberFormat="1" applyFont="1" applyFill="1" applyBorder="1" applyAlignment="1">
      <alignment horizontal="right"/>
    </xf>
    <xf numFmtId="185" fontId="1" fillId="4" borderId="6" xfId="0" applyNumberFormat="1" applyFont="1" applyFill="1" applyBorder="1" applyAlignment="1">
      <alignment horizontal="right"/>
    </xf>
    <xf numFmtId="4" fontId="1" fillId="4" borderId="6" xfId="0" applyNumberFormat="1" applyFont="1" applyFill="1" applyBorder="1" applyAlignment="1">
      <alignment horizontal="right"/>
    </xf>
    <xf numFmtId="4" fontId="1" fillId="4" borderId="6" xfId="0" applyNumberFormat="1" applyFont="1" applyFill="1" applyBorder="1"/>
    <xf numFmtId="165" fontId="1" fillId="4" borderId="6" xfId="16" applyNumberFormat="1" applyFont="1" applyFill="1" applyBorder="1"/>
    <xf numFmtId="186" fontId="1" fillId="4" borderId="6" xfId="0" applyNumberFormat="1" applyFont="1" applyFill="1" applyBorder="1" applyAlignment="1">
      <alignment horizontal="right"/>
    </xf>
    <xf numFmtId="168" fontId="1" fillId="4" borderId="5" xfId="0" applyNumberFormat="1" applyFont="1" applyFill="1" applyBorder="1" applyAlignment="1">
      <alignment horizontal="right"/>
    </xf>
    <xf numFmtId="165" fontId="1" fillId="4" borderId="5" xfId="16" applyNumberFormat="1" applyFont="1" applyFill="1" applyBorder="1"/>
    <xf numFmtId="3" fontId="1" fillId="4" borderId="5" xfId="0" applyNumberFormat="1" applyFont="1" applyFill="1" applyBorder="1" applyAlignment="1">
      <alignment horizontal="right"/>
    </xf>
    <xf numFmtId="3" fontId="1" fillId="4" borderId="7" xfId="0" applyNumberFormat="1" applyFont="1" applyFill="1" applyBorder="1" applyAlignment="1">
      <alignment horizontal="right"/>
    </xf>
    <xf numFmtId="0" fontId="1" fillId="4" borderId="7" xfId="0" applyFont="1" applyFill="1" applyBorder="1" applyAlignment="1">
      <alignment horizontal="right"/>
    </xf>
    <xf numFmtId="0" fontId="1" fillId="4" borderId="0" xfId="0" applyFont="1" applyFill="1" applyAlignment="1">
      <alignment horizontal="center" vertical="center"/>
    </xf>
    <xf numFmtId="3" fontId="1" fillId="4" borderId="0" xfId="0" applyNumberFormat="1" applyFont="1" applyFill="1" applyAlignment="1">
      <alignment horizontal="center"/>
    </xf>
    <xf numFmtId="4" fontId="1" fillId="4" borderId="0" xfId="0" applyNumberFormat="1" applyFont="1" applyFill="1" applyAlignment="1">
      <alignment horizontal="center"/>
    </xf>
    <xf numFmtId="4" fontId="2" fillId="4" borderId="0" xfId="0" applyNumberFormat="1" applyFont="1" applyFill="1" applyAlignment="1">
      <alignment horizontal="center"/>
    </xf>
    <xf numFmtId="166" fontId="1" fillId="4" borderId="6" xfId="0" applyNumberFormat="1" applyFont="1" applyFill="1" applyBorder="1"/>
    <xf numFmtId="0" fontId="21" fillId="11" borderId="0" xfId="0" applyFont="1" applyFill="1"/>
    <xf numFmtId="0" fontId="2" fillId="11" borderId="0" xfId="0" applyFont="1" applyFill="1"/>
    <xf numFmtId="0" fontId="3" fillId="11" borderId="0" xfId="0" applyFont="1" applyFill="1"/>
    <xf numFmtId="0" fontId="1" fillId="12" borderId="0" xfId="0" applyFont="1" applyFill="1"/>
    <xf numFmtId="0" fontId="1" fillId="12" borderId="6" xfId="0" applyFont="1" applyFill="1" applyBorder="1" applyAlignment="1">
      <alignment horizontal="center"/>
    </xf>
    <xf numFmtId="0" fontId="1" fillId="12" borderId="6" xfId="0" applyFont="1" applyFill="1" applyBorder="1" applyAlignment="1">
      <alignment horizontal="left"/>
    </xf>
    <xf numFmtId="3" fontId="1" fillId="12" borderId="6" xfId="0" applyNumberFormat="1" applyFont="1" applyFill="1" applyBorder="1" applyAlignment="1">
      <alignment horizontal="center"/>
    </xf>
    <xf numFmtId="2" fontId="1" fillId="12" borderId="6" xfId="0" applyNumberFormat="1" applyFont="1" applyFill="1" applyBorder="1" applyAlignment="1">
      <alignment horizontal="center"/>
    </xf>
    <xf numFmtId="0" fontId="1" fillId="12" borderId="6" xfId="0" applyFont="1" applyFill="1" applyBorder="1"/>
    <xf numFmtId="169" fontId="1" fillId="12" borderId="6" xfId="0" applyNumberFormat="1" applyFont="1" applyFill="1" applyBorder="1" applyAlignment="1">
      <alignment horizontal="center"/>
    </xf>
    <xf numFmtId="184" fontId="1" fillId="12" borderId="6" xfId="0" applyNumberFormat="1" applyFont="1" applyFill="1" applyBorder="1" applyAlignment="1">
      <alignment horizontal="center"/>
    </xf>
    <xf numFmtId="169" fontId="27" fillId="12" borderId="6" xfId="0" applyNumberFormat="1" applyFont="1" applyFill="1" applyBorder="1" applyAlignment="1">
      <alignment horizontal="center"/>
    </xf>
    <xf numFmtId="169" fontId="1" fillId="12" borderId="6" xfId="14" applyNumberFormat="1" applyFont="1" applyFill="1" applyBorder="1" applyAlignment="1">
      <alignment horizontal="center"/>
    </xf>
    <xf numFmtId="0" fontId="2" fillId="8" borderId="5" xfId="0" applyFont="1" applyFill="1" applyBorder="1" applyAlignment="1">
      <alignment horizontal="left"/>
    </xf>
    <xf numFmtId="0" fontId="2" fillId="8" borderId="5" xfId="0" applyFont="1" applyFill="1" applyBorder="1"/>
    <xf numFmtId="0" fontId="1" fillId="8" borderId="6" xfId="0" applyFont="1" applyFill="1" applyBorder="1"/>
    <xf numFmtId="3" fontId="1" fillId="4" borderId="5" xfId="0" applyNumberFormat="1" applyFont="1" applyFill="1" applyBorder="1"/>
    <xf numFmtId="0" fontId="1" fillId="4" borderId="27" xfId="0" applyFont="1" applyFill="1" applyBorder="1" applyAlignment="1">
      <alignment horizontal="center"/>
    </xf>
    <xf numFmtId="166" fontId="23" fillId="4" borderId="14" xfId="0" applyNumberFormat="1" applyFont="1" applyFill="1" applyBorder="1" applyAlignment="1">
      <alignment horizontal="center"/>
    </xf>
    <xf numFmtId="9" fontId="24" fillId="4" borderId="28" xfId="16" applyFont="1" applyFill="1" applyBorder="1" applyAlignment="1">
      <alignment horizontal="center"/>
    </xf>
    <xf numFmtId="164" fontId="1" fillId="7" borderId="9" xfId="14" applyNumberFormat="1" applyFont="1" applyFill="1" applyBorder="1" applyAlignment="1">
      <alignment horizontal="center"/>
    </xf>
    <xf numFmtId="3" fontId="24" fillId="4" borderId="29" xfId="16" applyNumberFormat="1" applyFont="1" applyFill="1" applyBorder="1" applyAlignment="1">
      <alignment horizontal="center"/>
    </xf>
    <xf numFmtId="3" fontId="24" fillId="4" borderId="30" xfId="16" applyNumberFormat="1" applyFont="1" applyFill="1" applyBorder="1" applyAlignment="1">
      <alignment horizontal="center"/>
    </xf>
    <xf numFmtId="164" fontId="1" fillId="6" borderId="6" xfId="14" applyNumberFormat="1" applyFont="1" applyFill="1" applyBorder="1" applyAlignment="1">
      <alignment horizontal="center"/>
    </xf>
    <xf numFmtId="0" fontId="21" fillId="4" borderId="0" xfId="0" applyFont="1" applyFill="1"/>
    <xf numFmtId="0" fontId="2" fillId="4" borderId="0" xfId="0" applyFont="1" applyFill="1" applyAlignment="1">
      <alignment horizontal="center" vertical="center" wrapText="1"/>
    </xf>
    <xf numFmtId="0" fontId="32" fillId="4" borderId="0" xfId="0" applyFont="1" applyFill="1" applyAlignment="1">
      <alignment horizontal="center" vertical="center"/>
    </xf>
    <xf numFmtId="0" fontId="33" fillId="4" borderId="0" xfId="0" applyFont="1" applyFill="1" applyAlignment="1">
      <alignment horizontal="center"/>
    </xf>
    <xf numFmtId="166" fontId="33" fillId="4" borderId="0" xfId="0" applyNumberFormat="1" applyFont="1" applyFill="1" applyAlignment="1">
      <alignment horizontal="center"/>
    </xf>
    <xf numFmtId="167" fontId="1" fillId="4" borderId="0" xfId="14" applyNumberFormat="1" applyFont="1" applyFill="1" applyAlignment="1">
      <alignment horizontal="center"/>
    </xf>
    <xf numFmtId="165" fontId="1" fillId="4" borderId="0" xfId="16" applyNumberFormat="1" applyFont="1" applyFill="1" applyAlignment="1">
      <alignment horizontal="right"/>
    </xf>
    <xf numFmtId="164" fontId="2" fillId="4" borderId="0" xfId="14" applyNumberFormat="1" applyFont="1" applyFill="1" applyAlignment="1">
      <alignment horizontal="center"/>
    </xf>
    <xf numFmtId="167" fontId="2" fillId="4" borderId="0" xfId="14" applyNumberFormat="1" applyFont="1" applyFill="1" applyAlignment="1">
      <alignment horizontal="center"/>
    </xf>
    <xf numFmtId="164" fontId="2" fillId="4" borderId="0" xfId="0" applyNumberFormat="1" applyFont="1" applyFill="1" applyAlignment="1">
      <alignment horizontal="center"/>
    </xf>
    <xf numFmtId="164" fontId="25" fillId="4" borderId="0" xfId="14" applyNumberFormat="1" applyFont="1" applyFill="1" applyAlignment="1">
      <alignment horizontal="center"/>
    </xf>
    <xf numFmtId="1" fontId="1" fillId="4" borderId="0" xfId="0" applyNumberFormat="1" applyFont="1" applyFill="1"/>
    <xf numFmtId="164" fontId="26" fillId="4" borderId="0" xfId="14" applyNumberFormat="1" applyFont="1" applyFill="1" applyAlignment="1">
      <alignment horizontal="center"/>
    </xf>
    <xf numFmtId="3" fontId="1" fillId="4" borderId="0" xfId="0" applyNumberFormat="1" applyFont="1" applyFill="1"/>
    <xf numFmtId="3" fontId="2" fillId="4" borderId="0" xfId="0" applyNumberFormat="1" applyFont="1" applyFill="1"/>
    <xf numFmtId="170" fontId="1" fillId="4" borderId="0" xfId="0" applyNumberFormat="1" applyFont="1" applyFill="1"/>
    <xf numFmtId="0" fontId="2" fillId="4" borderId="0" xfId="0" applyFont="1" applyFill="1" applyAlignment="1">
      <alignment horizontal="left"/>
    </xf>
    <xf numFmtId="164" fontId="2" fillId="4" borderId="0" xfId="0" applyNumberFormat="1" applyFont="1" applyFill="1"/>
    <xf numFmtId="0" fontId="1" fillId="4" borderId="0" xfId="0" applyFont="1" applyFill="1" applyAlignment="1">
      <alignment horizontal="right"/>
    </xf>
    <xf numFmtId="0" fontId="1" fillId="13" borderId="0" xfId="0" applyFont="1" applyFill="1" applyAlignment="1">
      <alignment vertical="center"/>
    </xf>
    <xf numFmtId="0" fontId="1" fillId="14" borderId="0" xfId="0" applyFont="1" applyFill="1" applyAlignment="1">
      <alignment vertical="center"/>
    </xf>
    <xf numFmtId="0" fontId="2" fillId="4" borderId="28" xfId="0" applyFont="1" applyFill="1" applyBorder="1" applyAlignment="1">
      <alignment horizontal="center" vertical="center" wrapText="1"/>
    </xf>
    <xf numFmtId="0" fontId="27" fillId="12" borderId="6" xfId="0" applyFont="1" applyFill="1" applyBorder="1" applyAlignment="1">
      <alignment horizontal="center"/>
    </xf>
    <xf numFmtId="171" fontId="1" fillId="4" borderId="0" xfId="14" applyNumberFormat="1" applyFont="1" applyFill="1"/>
    <xf numFmtId="169" fontId="34" fillId="4" borderId="0" xfId="0" applyNumberFormat="1" applyFont="1" applyFill="1"/>
    <xf numFmtId="166" fontId="35" fillId="6" borderId="6" xfId="0" applyNumberFormat="1" applyFont="1" applyFill="1" applyBorder="1" applyAlignment="1">
      <alignment horizontal="center"/>
    </xf>
    <xf numFmtId="9" fontId="36" fillId="6" borderId="4" xfId="16" applyFont="1" applyFill="1" applyBorder="1" applyAlignment="1">
      <alignment horizontal="center"/>
    </xf>
    <xf numFmtId="3" fontId="36" fillId="6" borderId="30" xfId="16" applyNumberFormat="1" applyFont="1" applyFill="1" applyBorder="1" applyAlignment="1">
      <alignment horizontal="center"/>
    </xf>
    <xf numFmtId="166" fontId="23" fillId="7" borderId="6" xfId="0" applyNumberFormat="1" applyFont="1" applyFill="1" applyBorder="1" applyAlignment="1">
      <alignment horizontal="center"/>
    </xf>
    <xf numFmtId="9" fontId="24" fillId="7" borderId="4" xfId="16" applyFont="1" applyFill="1" applyBorder="1" applyAlignment="1">
      <alignment horizontal="center"/>
    </xf>
    <xf numFmtId="3" fontId="24" fillId="7" borderId="30" xfId="16" applyNumberFormat="1" applyFont="1" applyFill="1" applyBorder="1" applyAlignment="1">
      <alignment horizontal="center"/>
    </xf>
    <xf numFmtId="166" fontId="35" fillId="7" borderId="9" xfId="0" applyNumberFormat="1" applyFont="1" applyFill="1" applyBorder="1" applyAlignment="1">
      <alignment horizontal="center"/>
    </xf>
    <xf numFmtId="9" fontId="36" fillId="7" borderId="11" xfId="16" applyFont="1" applyFill="1" applyBorder="1" applyAlignment="1">
      <alignment horizontal="center"/>
    </xf>
    <xf numFmtId="3" fontId="36" fillId="7" borderId="31" xfId="16" applyNumberFormat="1" applyFont="1" applyFill="1" applyBorder="1" applyAlignment="1">
      <alignment horizontal="center"/>
    </xf>
    <xf numFmtId="0" fontId="2" fillId="4" borderId="32" xfId="0" applyFont="1" applyFill="1" applyBorder="1" applyAlignment="1">
      <alignment horizontal="center" vertical="center" wrapText="1"/>
    </xf>
    <xf numFmtId="0" fontId="24" fillId="4" borderId="19" xfId="0" applyFont="1" applyFill="1" applyBorder="1" applyAlignment="1">
      <alignment horizontal="center" vertical="center"/>
    </xf>
    <xf numFmtId="0" fontId="36" fillId="4" borderId="28" xfId="0" applyFont="1" applyFill="1" applyBorder="1" applyAlignment="1">
      <alignment horizontal="center" vertical="center" wrapText="1"/>
    </xf>
    <xf numFmtId="0" fontId="1" fillId="12" borderId="5" xfId="0" applyFont="1" applyFill="1" applyBorder="1" applyAlignment="1">
      <alignment horizontal="center"/>
    </xf>
    <xf numFmtId="185" fontId="2" fillId="8" borderId="6" xfId="0" applyNumberFormat="1" applyFont="1" applyFill="1" applyBorder="1"/>
    <xf numFmtId="164" fontId="1" fillId="4" borderId="0" xfId="0" applyNumberFormat="1" applyFont="1" applyFill="1" applyAlignment="1">
      <alignment horizontal="right"/>
    </xf>
    <xf numFmtId="0" fontId="1" fillId="4" borderId="6" xfId="0" applyFont="1" applyFill="1" applyBorder="1" applyAlignment="1">
      <alignment vertical="center"/>
    </xf>
    <xf numFmtId="3" fontId="1" fillId="4" borderId="6" xfId="0" applyNumberFormat="1" applyFont="1" applyFill="1" applyBorder="1" applyAlignment="1">
      <alignment vertical="center"/>
    </xf>
    <xf numFmtId="0" fontId="37" fillId="13" borderId="0" xfId="0" applyFont="1" applyFill="1" applyAlignment="1">
      <alignment horizontal="center" vertical="top" textRotation="90" wrapText="1"/>
    </xf>
    <xf numFmtId="2" fontId="1" fillId="4" borderId="6" xfId="0" applyNumberFormat="1" applyFont="1" applyFill="1" applyBorder="1"/>
    <xf numFmtId="171" fontId="1" fillId="4" borderId="0" xfId="0" applyNumberFormat="1" applyFont="1" applyFill="1" applyAlignment="1">
      <alignment horizontal="right"/>
    </xf>
    <xf numFmtId="168" fontId="1" fillId="4" borderId="0" xfId="0" applyNumberFormat="1" applyFont="1" applyFill="1" applyAlignment="1">
      <alignment horizontal="right"/>
    </xf>
    <xf numFmtId="167" fontId="1" fillId="4" borderId="0" xfId="0" applyNumberFormat="1" applyFont="1" applyFill="1" applyAlignment="1">
      <alignment horizontal="right"/>
    </xf>
    <xf numFmtId="187" fontId="1" fillId="4" borderId="0" xfId="16" applyNumberFormat="1" applyFont="1" applyFill="1"/>
    <xf numFmtId="0" fontId="34" fillId="4" borderId="0" xfId="0" applyFont="1" applyFill="1"/>
    <xf numFmtId="0" fontId="38" fillId="4" borderId="0" xfId="0" applyFont="1" applyFill="1"/>
    <xf numFmtId="0" fontId="22" fillId="4" borderId="0" xfId="0" applyFont="1" applyFill="1" applyAlignment="1">
      <alignment horizontal="left"/>
    </xf>
    <xf numFmtId="0" fontId="1" fillId="11" borderId="0" xfId="0" applyFont="1" applyFill="1"/>
    <xf numFmtId="0" fontId="1" fillId="11" borderId="0" xfId="0" applyFont="1" applyFill="1" applyAlignment="1">
      <alignment horizontal="center"/>
    </xf>
    <xf numFmtId="0" fontId="2" fillId="11" borderId="0" xfId="0" applyFont="1" applyFill="1" applyAlignment="1">
      <alignment horizontal="center"/>
    </xf>
    <xf numFmtId="0" fontId="37" fillId="4" borderId="0" xfId="0" applyFont="1" applyFill="1" applyAlignment="1">
      <alignment horizontal="center" vertical="top" textRotation="90" wrapText="1"/>
    </xf>
    <xf numFmtId="0" fontId="37" fillId="14" borderId="0" xfId="0" applyFont="1" applyFill="1" applyAlignment="1">
      <alignment horizontal="center" vertical="top" textRotation="90" wrapText="1"/>
    </xf>
    <xf numFmtId="0" fontId="21" fillId="13" borderId="0" xfId="0" applyFont="1" applyFill="1"/>
    <xf numFmtId="0" fontId="1" fillId="12" borderId="5" xfId="0" applyFont="1" applyFill="1" applyBorder="1" applyAlignment="1">
      <alignment horizontal="left"/>
    </xf>
    <xf numFmtId="3" fontId="1" fillId="12" borderId="5" xfId="0" applyNumberFormat="1" applyFont="1" applyFill="1" applyBorder="1" applyAlignment="1">
      <alignment horizontal="center"/>
    </xf>
    <xf numFmtId="2" fontId="1" fillId="12" borderId="5" xfId="0" applyNumberFormat="1" applyFont="1" applyFill="1" applyBorder="1" applyAlignment="1">
      <alignment horizontal="center"/>
    </xf>
    <xf numFmtId="0" fontId="1" fillId="12" borderId="5" xfId="0" applyFont="1" applyFill="1" applyBorder="1"/>
    <xf numFmtId="0" fontId="1" fillId="12" borderId="9" xfId="0" applyFont="1" applyFill="1" applyBorder="1" applyAlignment="1">
      <alignment horizontal="center"/>
    </xf>
    <xf numFmtId="0" fontId="1" fillId="12" borderId="9" xfId="0" applyFont="1" applyFill="1" applyBorder="1"/>
    <xf numFmtId="0" fontId="0" fillId="15" borderId="0" xfId="0" applyFill="1" applyAlignment="1">
      <alignment wrapText="1"/>
    </xf>
    <xf numFmtId="3" fontId="0" fillId="15" borderId="0" xfId="0" applyNumberFormat="1" applyFill="1" applyAlignment="1">
      <alignment wrapText="1"/>
    </xf>
    <xf numFmtId="0" fontId="39" fillId="4" borderId="0" xfId="0" applyFont="1" applyFill="1" applyAlignment="1">
      <alignment horizontal="left" wrapText="1"/>
    </xf>
    <xf numFmtId="3" fontId="40" fillId="4" borderId="0" xfId="0" applyNumberFormat="1" applyFont="1" applyFill="1" applyAlignment="1">
      <alignment horizontal="left" wrapText="1"/>
    </xf>
    <xf numFmtId="0" fontId="40" fillId="4" borderId="0" xfId="0" applyFont="1" applyFill="1" applyAlignment="1">
      <alignment horizontal="left" wrapText="1"/>
    </xf>
    <xf numFmtId="0" fontId="0" fillId="16" borderId="0" xfId="0" applyFill="1" applyAlignment="1">
      <alignment wrapText="1"/>
    </xf>
    <xf numFmtId="0" fontId="24" fillId="12" borderId="6" xfId="0" applyFont="1" applyFill="1" applyBorder="1" applyAlignment="1">
      <alignment horizontal="left"/>
    </xf>
    <xf numFmtId="0" fontId="24" fillId="12" borderId="6" xfId="0" applyFont="1" applyFill="1" applyBorder="1" applyAlignment="1">
      <alignment horizontal="center"/>
    </xf>
    <xf numFmtId="3" fontId="24" fillId="12" borderId="6" xfId="0" applyNumberFormat="1" applyFont="1" applyFill="1" applyBorder="1" applyAlignment="1">
      <alignment horizontal="center"/>
    </xf>
    <xf numFmtId="0" fontId="24" fillId="12" borderId="0" xfId="0" applyFont="1" applyFill="1" applyAlignment="1">
      <alignment horizontal="center"/>
    </xf>
    <xf numFmtId="2" fontId="24" fillId="12" borderId="6" xfId="0" applyNumberFormat="1" applyFont="1" applyFill="1" applyBorder="1" applyAlignment="1">
      <alignment horizontal="center"/>
    </xf>
    <xf numFmtId="0" fontId="24" fillId="12" borderId="6" xfId="0" applyFont="1" applyFill="1" applyBorder="1"/>
    <xf numFmtId="3" fontId="2" fillId="8" borderId="5" xfId="0" applyNumberFormat="1" applyFont="1" applyFill="1" applyBorder="1"/>
    <xf numFmtId="185" fontId="2" fillId="8" borderId="7" xfId="0" applyNumberFormat="1" applyFont="1" applyFill="1" applyBorder="1"/>
    <xf numFmtId="0" fontId="41" fillId="5" borderId="0" xfId="0" applyFont="1" applyFill="1" applyAlignment="1">
      <alignment horizontal="center" vertical="center"/>
    </xf>
    <xf numFmtId="0" fontId="3" fillId="12" borderId="6" xfId="0" applyFont="1" applyFill="1" applyBorder="1" applyAlignment="1">
      <alignment horizontal="center"/>
    </xf>
    <xf numFmtId="0" fontId="3" fillId="12" borderId="6" xfId="0" applyFont="1" applyFill="1" applyBorder="1" applyAlignment="1">
      <alignment horizontal="left"/>
    </xf>
    <xf numFmtId="4" fontId="1" fillId="12" borderId="6" xfId="0" applyNumberFormat="1" applyFont="1" applyFill="1" applyBorder="1" applyAlignment="1">
      <alignment horizontal="center"/>
    </xf>
    <xf numFmtId="4" fontId="1" fillId="12" borderId="5" xfId="0" applyNumberFormat="1" applyFont="1" applyFill="1" applyBorder="1" applyAlignment="1">
      <alignment horizontal="center"/>
    </xf>
    <xf numFmtId="4" fontId="24" fillId="12" borderId="6" xfId="0" applyNumberFormat="1" applyFont="1" applyFill="1" applyBorder="1" applyAlignment="1">
      <alignment horizontal="center"/>
    </xf>
    <xf numFmtId="0" fontId="2" fillId="4" borderId="7" xfId="0" applyFont="1" applyFill="1" applyBorder="1" applyAlignment="1">
      <alignment horizontal="left"/>
    </xf>
    <xf numFmtId="185" fontId="2" fillId="4" borderId="7" xfId="0" applyNumberFormat="1" applyFont="1" applyFill="1" applyBorder="1"/>
    <xf numFmtId="0" fontId="2" fillId="4" borderId="7" xfId="0" applyFont="1" applyFill="1" applyBorder="1"/>
    <xf numFmtId="0" fontId="1" fillId="4" borderId="6" xfId="0" applyFont="1" applyFill="1" applyBorder="1" applyAlignment="1">
      <alignment horizontal="right"/>
    </xf>
    <xf numFmtId="164" fontId="25" fillId="7" borderId="6" xfId="14" applyNumberFormat="1" applyFont="1" applyFill="1" applyBorder="1" applyAlignment="1">
      <alignment horizontal="center"/>
    </xf>
    <xf numFmtId="164" fontId="26" fillId="7" borderId="9" xfId="14" applyNumberFormat="1" applyFont="1" applyFill="1" applyBorder="1" applyAlignment="1">
      <alignment horizontal="center"/>
    </xf>
    <xf numFmtId="0" fontId="1" fillId="0" borderId="0" xfId="0" applyFont="1" applyAlignment="1">
      <alignment vertical="center"/>
    </xf>
    <xf numFmtId="0" fontId="2" fillId="12" borderId="7" xfId="0" applyFont="1" applyFill="1" applyBorder="1" applyAlignment="1">
      <alignment horizontal="center" vertical="center" wrapText="1"/>
    </xf>
    <xf numFmtId="0" fontId="2" fillId="12" borderId="5" xfId="0" applyFont="1" applyFill="1" applyBorder="1" applyAlignment="1">
      <alignment horizontal="center" vertical="center" wrapText="1"/>
    </xf>
    <xf numFmtId="0" fontId="2" fillId="12" borderId="7" xfId="0" applyFont="1" applyFill="1" applyBorder="1" applyAlignment="1">
      <alignment horizontal="center" vertical="center"/>
    </xf>
    <xf numFmtId="0" fontId="2" fillId="12" borderId="5" xfId="0" applyFont="1" applyFill="1" applyBorder="1" applyAlignment="1">
      <alignment horizontal="center" vertical="center"/>
    </xf>
    <xf numFmtId="0" fontId="1" fillId="4" borderId="0" xfId="0" applyFont="1" applyFill="1" applyAlignment="1">
      <alignment horizontal="center"/>
    </xf>
    <xf numFmtId="10" fontId="1" fillId="4" borderId="0" xfId="0" applyNumberFormat="1" applyFont="1" applyFill="1" applyAlignment="1">
      <alignment horizontal="center"/>
    </xf>
    <xf numFmtId="0" fontId="2" fillId="12" borderId="0" xfId="0" applyFont="1" applyFill="1" applyAlignment="1">
      <alignment horizontal="left" vertical="center" wrapText="1"/>
    </xf>
    <xf numFmtId="0" fontId="2" fillId="12" borderId="5" xfId="0" applyFont="1" applyFill="1" applyBorder="1" applyAlignment="1">
      <alignment horizontal="left" vertical="center" wrapText="1"/>
    </xf>
    <xf numFmtId="0" fontId="37" fillId="14" borderId="0" xfId="0" applyFont="1" applyFill="1" applyAlignment="1">
      <alignment horizontal="center" vertical="top" textRotation="90" wrapText="1"/>
    </xf>
    <xf numFmtId="0" fontId="21" fillId="5" borderId="0" xfId="0" applyFont="1" applyFill="1" applyAlignment="1">
      <alignment horizontal="left"/>
    </xf>
    <xf numFmtId="0" fontId="2" fillId="4" borderId="33" xfId="0" applyFont="1" applyFill="1" applyBorder="1" applyAlignment="1">
      <alignment horizontal="center"/>
    </xf>
    <xf numFmtId="0" fontId="1" fillId="4" borderId="5" xfId="0" applyFont="1" applyFill="1" applyBorder="1" applyAlignment="1">
      <alignment horizontal="right"/>
    </xf>
    <xf numFmtId="0" fontId="1" fillId="4" borderId="6" xfId="0" applyFont="1" applyFill="1" applyBorder="1" applyAlignment="1">
      <alignment horizontal="right"/>
    </xf>
    <xf numFmtId="170" fontId="1" fillId="4" borderId="6" xfId="0" applyNumberFormat="1" applyFont="1" applyFill="1" applyBorder="1" applyAlignment="1">
      <alignment horizontal="center"/>
    </xf>
    <xf numFmtId="0" fontId="0" fillId="0" borderId="6" xfId="0" applyBorder="1"/>
    <xf numFmtId="0" fontId="17" fillId="13" borderId="0" xfId="0" applyFont="1" applyFill="1" applyAlignment="1">
      <alignment horizontal="right" vertical="center"/>
    </xf>
    <xf numFmtId="0" fontId="0" fillId="0" borderId="0" xfId="0" applyAlignment="1">
      <alignment vertical="center"/>
    </xf>
    <xf numFmtId="0" fontId="0" fillId="0" borderId="34" xfId="0" applyBorder="1" applyAlignment="1">
      <alignment vertical="center"/>
    </xf>
    <xf numFmtId="0" fontId="17" fillId="14" borderId="0" xfId="0" applyFont="1" applyFill="1" applyAlignment="1">
      <alignment horizontal="right" vertical="center"/>
    </xf>
    <xf numFmtId="0" fontId="29" fillId="4" borderId="0" xfId="0" applyFont="1" applyFill="1" applyAlignment="1">
      <alignment horizontal="center"/>
    </xf>
    <xf numFmtId="0" fontId="20" fillId="9" borderId="0" xfId="0" applyFont="1" applyFill="1" applyAlignment="1">
      <alignment horizontal="center"/>
    </xf>
    <xf numFmtId="0" fontId="42" fillId="4" borderId="0" xfId="0" applyFont="1" applyFill="1" applyAlignment="1">
      <alignment horizontal="left" vertical="center" wrapText="1"/>
    </xf>
    <xf numFmtId="0" fontId="43" fillId="4" borderId="0" xfId="0" applyFont="1" applyFill="1" applyAlignment="1">
      <alignment horizontal="center"/>
    </xf>
    <xf numFmtId="0" fontId="37" fillId="13" borderId="0" xfId="0" applyFont="1" applyFill="1" applyAlignment="1">
      <alignment horizontal="center" vertical="top" textRotation="90" wrapText="1"/>
    </xf>
    <xf numFmtId="0" fontId="37" fillId="11" borderId="0" xfId="0" applyFont="1" applyFill="1" applyAlignment="1">
      <alignment horizontal="center" vertical="center" textRotation="90"/>
    </xf>
    <xf numFmtId="0" fontId="0" fillId="0" borderId="0" xfId="0"/>
    <xf numFmtId="0" fontId="21" fillId="11" borderId="0" xfId="0" applyFont="1" applyFill="1" applyAlignment="1">
      <alignment horizontal="left"/>
    </xf>
    <xf numFmtId="0" fontId="37" fillId="17" borderId="0" xfId="0" applyFont="1" applyFill="1" applyAlignment="1">
      <alignment horizontal="left" vertical="top"/>
    </xf>
    <xf numFmtId="0" fontId="37" fillId="13" borderId="0" xfId="0" applyFont="1" applyFill="1" applyAlignment="1">
      <alignment horizontal="left" vertical="top"/>
    </xf>
    <xf numFmtId="0" fontId="20" fillId="4" borderId="0" xfId="0" applyFont="1" applyFill="1" applyAlignment="1">
      <alignment horizontal="right" vertical="center" wrapText="1"/>
    </xf>
  </cellXfs>
  <cellStyles count="21">
    <cellStyle name="Dezimal 2" xfId="1" xr:uid="{00000000-0005-0000-0000-000001000000}"/>
    <cellStyle name="Dezimal 3" xfId="2" xr:uid="{00000000-0005-0000-0000-000002000000}"/>
    <cellStyle name="Dezimal 4" xfId="3" xr:uid="{00000000-0005-0000-0000-000003000000}"/>
    <cellStyle name="Eingabe €" xfId="4" xr:uid="{00000000-0005-0000-0000-000004000000}"/>
    <cellStyle name="Eingabe €/kWp" xfId="5" xr:uid="{00000000-0005-0000-0000-000005000000}"/>
    <cellStyle name="Eingabe Jahre" xfId="6" xr:uid="{00000000-0005-0000-0000-000006000000}"/>
    <cellStyle name="Eingabe kWp" xfId="7" xr:uid="{00000000-0005-0000-0000-000007000000}"/>
    <cellStyle name="Eingabe Prozent" xfId="8" xr:uid="{00000000-0005-0000-0000-000008000000}"/>
    <cellStyle name="Eingabe Text" xfId="9" xr:uid="{00000000-0005-0000-0000-000009000000}"/>
    <cellStyle name="Euro" xfId="10" xr:uid="{00000000-0005-0000-0000-00000A000000}"/>
    <cellStyle name="Hyperlink 2" xfId="11" xr:uid="{00000000-0005-0000-0000-00000B000000}"/>
    <cellStyle name="Hyperlink 3" xfId="12" xr:uid="{00000000-0005-0000-0000-00000C000000}"/>
    <cellStyle name="Hyperlink10pt" xfId="13" xr:uid="{00000000-0005-0000-0000-00000D000000}"/>
    <cellStyle name="Komma" xfId="14" builtinId="3"/>
    <cellStyle name="Normal 4" xfId="15" xr:uid="{00000000-0005-0000-0000-00000F000000}"/>
    <cellStyle name="Prozent" xfId="16" builtinId="5"/>
    <cellStyle name="Prozent 2" xfId="17" xr:uid="{00000000-0005-0000-0000-000011000000}"/>
    <cellStyle name="Standard" xfId="0" builtinId="0"/>
    <cellStyle name="Standard 2" xfId="18" xr:uid="{00000000-0005-0000-0000-000012000000}"/>
    <cellStyle name="Standard 3" xfId="19" xr:uid="{00000000-0005-0000-0000-000013000000}"/>
    <cellStyle name="Standard 4" xfId="20" xr:uid="{00000000-0005-0000-0000-000014000000}"/>
  </cellStyles>
  <dxfs count="2">
    <dxf>
      <font>
        <color rgb="FF339933"/>
      </font>
      <fill>
        <patternFill>
          <bgColor theme="0"/>
        </patternFill>
      </fill>
    </dxf>
    <dxf>
      <font>
        <strike val="0"/>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itchFamily="34" charset="0"/>
                <a:cs typeface="Arial" pitchFamily="34" charset="0"/>
              </a:defRPr>
            </a:pPr>
            <a:r>
              <a:rPr lang="de-AT" sz="1400">
                <a:latin typeface="Arial" pitchFamily="34" charset="0"/>
                <a:cs typeface="Arial" pitchFamily="34" charset="0"/>
              </a:rPr>
              <a:t>Compare electrical and fossil car costs</a:t>
            </a:r>
          </a:p>
        </c:rich>
      </c:tx>
      <c:layout>
        <c:manualLayout>
          <c:xMode val="edge"/>
          <c:yMode val="edge"/>
          <c:x val="0.30293975077439644"/>
          <c:y val="1.6816988785492724E-2"/>
        </c:manualLayout>
      </c:layout>
      <c:overlay val="1"/>
    </c:title>
    <c:autoTitleDeleted val="0"/>
    <c:plotArea>
      <c:layout>
        <c:manualLayout>
          <c:layoutTarget val="inner"/>
          <c:xMode val="edge"/>
          <c:yMode val="edge"/>
          <c:x val="0.12358658374859602"/>
          <c:y val="9.0881443496543146E-2"/>
          <c:w val="0.85818062884453072"/>
          <c:h val="0.78443919841772958"/>
        </c:manualLayout>
      </c:layout>
      <c:lineChart>
        <c:grouping val="standard"/>
        <c:varyColors val="0"/>
        <c:ser>
          <c:idx val="0"/>
          <c:order val="0"/>
          <c:tx>
            <c:strRef>
              <c:f>'Auto-Vergleich'!$D$42</c:f>
              <c:strCache>
                <c:ptCount val="1"/>
                <c:pt idx="0">
                  <c:v>Hyundai / i30 Fastback 1.4T - GDI - Level 4 (Petrol)</c:v>
                </c:pt>
              </c:strCache>
            </c:strRef>
          </c:tx>
          <c:spPr>
            <a:ln w="25400">
              <a:solidFill>
                <a:srgbClr val="FFC000"/>
              </a:solidFill>
            </a:ln>
          </c:spPr>
          <c:marker>
            <c:symbol val="triangle"/>
            <c:size val="7"/>
            <c:spPr>
              <a:solidFill>
                <a:srgbClr val="FFCC00"/>
              </a:solidFill>
              <a:ln>
                <a:solidFill>
                  <a:sysClr val="window" lastClr="FFFFFF"/>
                </a:solidFill>
              </a:ln>
            </c:spPr>
          </c:marker>
          <c:cat>
            <c:numRef>
              <c:f>'Auto-Vergleich'!$N$13:$N$33</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'Auto-Vergleich'!$X$13:$X$33</c:f>
              <c:numCache>
                <c:formatCode>#,##0_ ;[Red]\-#,##0\ </c:formatCode>
                <c:ptCount val="21"/>
                <c:pt idx="0">
                  <c:v>27490</c:v>
                </c:pt>
                <c:pt idx="1">
                  <c:v>29919.715686274511</c:v>
                </c:pt>
                <c:pt idx="2">
                  <c:v>32440.526658016148</c:v>
                </c:pt>
                <c:pt idx="3">
                  <c:v>35058.300523318241</c:v>
                </c:pt>
                <c:pt idx="4">
                  <c:v>37779.282833265999</c:v>
                </c:pt>
                <c:pt idx="5">
                  <c:v>40610.121425911602</c:v>
                </c:pt>
                <c:pt idx="6">
                  <c:v>43557.892338287653</c:v>
                </c:pt>
                <c:pt idx="7">
                  <c:v>46630.127387459135</c:v>
                </c:pt>
                <c:pt idx="8">
                  <c:v>49834.843528119636</c:v>
                </c:pt>
                <c:pt idx="9">
                  <c:v>53180.574101162128</c:v>
                </c:pt>
                <c:pt idx="10">
                  <c:v>56676.402095025333</c:v>
                </c:pt>
                <c:pt idx="11">
                  <c:v>60331.995549462117</c:v>
                </c:pt>
                <c:pt idx="12">
                  <c:v>64157.64523972707</c:v>
                </c:pt>
                <c:pt idx="13">
                  <c:v>68164.30478806913</c:v>
                </c:pt>
                <c:pt idx="14">
                  <c:v>72363.633358876192</c:v>
                </c:pt>
                <c:pt idx="15">
                  <c:v>76768.041103889394</c:v>
                </c:pt>
                <c:pt idx="16">
                  <c:v>81390.737534623768</c:v>
                </c:pt>
                <c:pt idx="17">
                  <c:v>86245.783010541956</c:v>
                </c:pt>
                <c:pt idx="18">
                  <c:v>91348.143543671962</c:v>
                </c:pt>
                <c:pt idx="19">
                  <c:v>96713.749133287143</c:v>
                </c:pt>
                <c:pt idx="20">
                  <c:v>102359.55585802581</c:v>
                </c:pt>
              </c:numCache>
            </c:numRef>
          </c:val>
          <c:smooth val="0"/>
          <c:extLst>
            <c:ext xmlns:c16="http://schemas.microsoft.com/office/drawing/2014/chart" uri="{C3380CC4-5D6E-409C-BE32-E72D297353CC}">
              <c16:uniqueId val="{00000000-C21E-4413-9EEB-0C0950556657}"/>
            </c:ext>
          </c:extLst>
        </c:ser>
        <c:ser>
          <c:idx val="1"/>
          <c:order val="1"/>
          <c:tx>
            <c:strRef>
              <c:f>'Auto-Vergleich'!$D$78</c:f>
              <c:strCache>
                <c:ptCount val="1"/>
                <c:pt idx="0">
                  <c:v>Hyundai / Ioniq electric Premium (AT) (Electrical)</c:v>
                </c:pt>
              </c:strCache>
            </c:strRef>
          </c:tx>
          <c:spPr>
            <a:ln w="25400">
              <a:solidFill>
                <a:schemeClr val="bg2">
                  <a:lumMod val="50000"/>
                </a:schemeClr>
              </a:solidFill>
            </a:ln>
          </c:spPr>
          <c:marker>
            <c:symbol val="diamond"/>
            <c:size val="7"/>
            <c:spPr>
              <a:solidFill>
                <a:schemeClr val="bg2">
                  <a:lumMod val="50000"/>
                </a:schemeClr>
              </a:solidFill>
              <a:ln>
                <a:solidFill>
                  <a:schemeClr val="bg1"/>
                </a:solidFill>
              </a:ln>
            </c:spPr>
          </c:marker>
          <c:cat>
            <c:numRef>
              <c:f>'Auto-Vergleich'!$N$13:$N$33</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'Auto-Vergleich'!$X$49:$X$69</c:f>
              <c:numCache>
                <c:formatCode>#,##0_ ;[Red]\-#,##0\ </c:formatCode>
                <c:ptCount val="21"/>
                <c:pt idx="0">
                  <c:v>31500</c:v>
                </c:pt>
                <c:pt idx="1">
                  <c:v>32315.549019607843</c:v>
                </c:pt>
                <c:pt idx="2">
                  <c:v>33136.56949250288</c:v>
                </c:pt>
                <c:pt idx="3">
                  <c:v>33963.120424553905</c:v>
                </c:pt>
                <c:pt idx="4">
                  <c:v>34795.261457967492</c:v>
                </c:pt>
                <c:pt idx="5">
                  <c:v>35633.052878150491</c:v>
                </c:pt>
                <c:pt idx="6">
                  <c:v>36476.555620646497</c:v>
                </c:pt>
                <c:pt idx="7">
                  <c:v>37325.831278147125</c:v>
                </c:pt>
                <c:pt idx="8">
                  <c:v>38180.942107578892</c:v>
                </c:pt>
                <c:pt idx="9">
                  <c:v>39041.951037266546</c:v>
                </c:pt>
                <c:pt idx="10">
                  <c:v>39908.921674173631</c:v>
                </c:pt>
                <c:pt idx="11">
                  <c:v>40781.918311221139</c:v>
                </c:pt>
                <c:pt idx="12">
                  <c:v>41661.005934685098</c:v>
                </c:pt>
                <c:pt idx="13">
                  <c:v>42546.250231673919</c:v>
                </c:pt>
                <c:pt idx="14">
                  <c:v>43437.717597686395</c:v>
                </c:pt>
                <c:pt idx="15">
                  <c:v>44335.475144251221</c:v>
                </c:pt>
                <c:pt idx="16">
                  <c:v>45239.590706648858</c:v>
                </c:pt>
                <c:pt idx="17">
                  <c:v>46150.132851716713</c:v>
                </c:pt>
                <c:pt idx="18">
                  <c:v>47067.170885738495</c:v>
                </c:pt>
                <c:pt idx="19">
                  <c:v>47990.774862418606</c:v>
                </c:pt>
                <c:pt idx="20">
                  <c:v>48921.015590942574</c:v>
                </c:pt>
              </c:numCache>
            </c:numRef>
          </c:val>
          <c:smooth val="0"/>
          <c:extLst>
            <c:ext xmlns:c16="http://schemas.microsoft.com/office/drawing/2014/chart" uri="{C3380CC4-5D6E-409C-BE32-E72D297353CC}">
              <c16:uniqueId val="{00000001-C21E-4413-9EEB-0C0950556657}"/>
            </c:ext>
          </c:extLst>
        </c:ser>
        <c:dLbls>
          <c:showLegendKey val="0"/>
          <c:showVal val="0"/>
          <c:showCatName val="0"/>
          <c:showSerName val="0"/>
          <c:showPercent val="0"/>
          <c:showBubbleSize val="0"/>
        </c:dLbls>
        <c:marker val="1"/>
        <c:smooth val="0"/>
        <c:axId val="77517568"/>
        <c:axId val="77519872"/>
      </c:lineChart>
      <c:catAx>
        <c:axId val="77517568"/>
        <c:scaling>
          <c:orientation val="minMax"/>
        </c:scaling>
        <c:delete val="0"/>
        <c:axPos val="b"/>
        <c:title>
          <c:tx>
            <c:rich>
              <a:bodyPr/>
              <a:lstStyle/>
              <a:p>
                <a:pPr>
                  <a:defRPr sz="1200">
                    <a:latin typeface="Arial" pitchFamily="34" charset="0"/>
                    <a:cs typeface="Arial" pitchFamily="34" charset="0"/>
                  </a:defRPr>
                </a:pPr>
                <a:r>
                  <a:rPr lang="de-AT" sz="1200">
                    <a:latin typeface="Arial" pitchFamily="34" charset="0"/>
                    <a:cs typeface="Arial" pitchFamily="34" charset="0"/>
                  </a:rPr>
                  <a:t>Years</a:t>
                </a:r>
              </a:p>
            </c:rich>
          </c:tx>
          <c:layout>
            <c:manualLayout>
              <c:xMode val="edge"/>
              <c:yMode val="edge"/>
              <c:x val="0.52397082121491567"/>
              <c:y val="0.93697733237890724"/>
            </c:manualLayout>
          </c:layout>
          <c:overlay val="0"/>
        </c:title>
        <c:numFmt formatCode="#,##0" sourceLinked="0"/>
        <c:majorTickMark val="none"/>
        <c:minorTickMark val="cross"/>
        <c:tickLblPos val="nextTo"/>
        <c:txPr>
          <a:bodyPr/>
          <a:lstStyle/>
          <a:p>
            <a:pPr>
              <a:defRPr b="1"/>
            </a:pPr>
            <a:endParaRPr lang="de-DE"/>
          </a:p>
        </c:txPr>
        <c:crossAx val="77519872"/>
        <c:crosses val="autoZero"/>
        <c:auto val="1"/>
        <c:lblAlgn val="ctr"/>
        <c:lblOffset val="100"/>
        <c:tickLblSkip val="1"/>
        <c:tickMarkSkip val="1"/>
        <c:noMultiLvlLbl val="0"/>
      </c:catAx>
      <c:valAx>
        <c:axId val="77519872"/>
        <c:scaling>
          <c:orientation val="minMax"/>
        </c:scaling>
        <c:delete val="0"/>
        <c:axPos val="l"/>
        <c:majorGridlines/>
        <c:title>
          <c:tx>
            <c:rich>
              <a:bodyPr rot="-5400000" vert="horz"/>
              <a:lstStyle/>
              <a:p>
                <a:pPr>
                  <a:defRPr sz="1200" b="1">
                    <a:latin typeface="Arial" pitchFamily="34" charset="0"/>
                    <a:cs typeface="Arial" pitchFamily="34" charset="0"/>
                  </a:defRPr>
                </a:pPr>
                <a:r>
                  <a:rPr lang="de-AT" sz="1200" b="1">
                    <a:latin typeface="Arial" pitchFamily="34" charset="0"/>
                    <a:cs typeface="Arial" pitchFamily="34" charset="0"/>
                  </a:rPr>
                  <a:t>Cumulative costs in Euro</a:t>
                </a:r>
              </a:p>
            </c:rich>
          </c:tx>
          <c:layout>
            <c:manualLayout>
              <c:xMode val="edge"/>
              <c:yMode val="edge"/>
              <c:x val="1.2341278286160174E-2"/>
              <c:y val="0.32360370105251995"/>
            </c:manualLayout>
          </c:layout>
          <c:overlay val="0"/>
        </c:title>
        <c:numFmt formatCode="#,##0_ ;[Red]\-#,##0\ " sourceLinked="1"/>
        <c:majorTickMark val="cross"/>
        <c:minorTickMark val="in"/>
        <c:tickLblPos val="nextTo"/>
        <c:txPr>
          <a:bodyPr/>
          <a:lstStyle/>
          <a:p>
            <a:pPr>
              <a:defRPr b="1"/>
            </a:pPr>
            <a:endParaRPr lang="de-DE"/>
          </a:p>
        </c:txPr>
        <c:crossAx val="77517568"/>
        <c:crosses val="autoZero"/>
        <c:crossBetween val="between"/>
      </c:valAx>
    </c:plotArea>
    <c:legend>
      <c:legendPos val="t"/>
      <c:layout>
        <c:manualLayout>
          <c:xMode val="edge"/>
          <c:yMode val="edge"/>
          <c:x val="0.13763913813098944"/>
          <c:y val="0.11944613563478429"/>
          <c:w val="0.55029652688762742"/>
          <c:h val="0.10496928722969455"/>
        </c:manualLayout>
      </c:layout>
      <c:overlay val="0"/>
      <c:spPr>
        <a:solidFill>
          <a:sysClr val="window" lastClr="FFFFFF"/>
        </a:solidFill>
        <a:ln>
          <a:solidFill>
            <a:schemeClr val="tx1"/>
          </a:solidFill>
        </a:ln>
        <a:effectLst>
          <a:outerShdw blurRad="50800" dist="38100" dir="2700000" algn="tl" rotWithShape="0">
            <a:prstClr val="black">
              <a:alpha val="40000"/>
            </a:prstClr>
          </a:outerShdw>
        </a:effectLst>
      </c:spPr>
      <c:txPr>
        <a:bodyPr/>
        <a:lstStyle/>
        <a:p>
          <a:pPr>
            <a:defRPr sz="1000" b="1">
              <a:latin typeface="Arial" pitchFamily="34" charset="0"/>
              <a:cs typeface="Arial" pitchFamily="34" charset="0"/>
            </a:defRPr>
          </a:pPr>
          <a:endParaRPr lang="de-DE"/>
        </a:p>
      </c:txPr>
    </c:legend>
    <c:plotVisOnly val="1"/>
    <c:dispBlanksAs val="gap"/>
    <c:showDLblsOverMax val="0"/>
  </c:chart>
  <c:printSettings>
    <c:headerFooter/>
    <c:pageMargins b="0.78740157499999996" l="0.70000000000000062" r="0.70000000000000062" t="0.78740157499999996"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AT" sz="1800" b="1" i="0" baseline="0"/>
              <a:t>Compair of electrical and fossil car costs</a:t>
            </a:r>
          </a:p>
          <a:p>
            <a:pPr>
              <a:defRPr/>
            </a:pPr>
            <a:r>
              <a:rPr lang="de-AT" sz="1200" b="0" i="0" baseline="0"/>
              <a:t>15.000 Investment costs</a:t>
            </a:r>
            <a:endParaRPr lang="de-AT" sz="1200" b="0"/>
          </a:p>
        </c:rich>
      </c:tx>
      <c:layout>
        <c:manualLayout>
          <c:xMode val="edge"/>
          <c:yMode val="edge"/>
          <c:x val="0.22924586840438049"/>
          <c:y val="5.4377369495479728E-2"/>
        </c:manualLayout>
      </c:layout>
      <c:overlay val="1"/>
    </c:title>
    <c:autoTitleDeleted val="0"/>
    <c:plotArea>
      <c:layout>
        <c:manualLayout>
          <c:layoutTarget val="inner"/>
          <c:xMode val="edge"/>
          <c:yMode val="edge"/>
          <c:x val="0.12721839847879429"/>
          <c:y val="3.1774898096417654E-2"/>
          <c:w val="0.84773188194723958"/>
          <c:h val="0.89652842753893613"/>
        </c:manualLayout>
      </c:layout>
      <c:lineChart>
        <c:grouping val="standard"/>
        <c:varyColors val="0"/>
        <c:ser>
          <c:idx val="0"/>
          <c:order val="0"/>
          <c:spPr>
            <a:ln w="31750">
              <a:solidFill>
                <a:srgbClr val="FFC000"/>
              </a:solidFill>
              <a:prstDash val="dash"/>
            </a:ln>
          </c:spPr>
          <c:marker>
            <c:symbol val="diamond"/>
            <c:size val="5"/>
            <c:spPr>
              <a:solidFill>
                <a:srgbClr val="FFC000"/>
              </a:solidFill>
              <a:ln>
                <a:solidFill>
                  <a:srgbClr val="FFFF00"/>
                </a:solidFill>
              </a:ln>
            </c:spPr>
          </c:marker>
          <c:val>
            <c:numLit>
              <c:formatCode>General</c:formatCode>
              <c:ptCount val="1"/>
              <c:pt idx="0">
                <c:v>0</c:v>
              </c:pt>
            </c:numLit>
          </c:val>
          <c:smooth val="0"/>
          <c:extLst>
            <c:ext xmlns:c16="http://schemas.microsoft.com/office/drawing/2014/chart" uri="{C3380CC4-5D6E-409C-BE32-E72D297353CC}">
              <c16:uniqueId val="{00000000-157B-4DA4-9B7B-B3261D3AC2DE}"/>
            </c:ext>
          </c:extLst>
        </c:ser>
        <c:ser>
          <c:idx val="1"/>
          <c:order val="1"/>
          <c:spPr>
            <a:ln w="31750"/>
          </c:spPr>
          <c:marker>
            <c:symbol val="triangle"/>
            <c:size val="7"/>
            <c:spPr>
              <a:ln>
                <a:solidFill>
                  <a:schemeClr val="bg1"/>
                </a:solidFill>
              </a:ln>
            </c:spPr>
          </c:marker>
          <c:val>
            <c:numLit>
              <c:formatCode>General</c:formatCode>
              <c:ptCount val="1"/>
              <c:pt idx="0">
                <c:v>0</c:v>
              </c:pt>
            </c:numLit>
          </c:val>
          <c:smooth val="0"/>
          <c:extLst>
            <c:ext xmlns:c16="http://schemas.microsoft.com/office/drawing/2014/chart" uri="{C3380CC4-5D6E-409C-BE32-E72D297353CC}">
              <c16:uniqueId val="{00000001-157B-4DA4-9B7B-B3261D3AC2DE}"/>
            </c:ext>
          </c:extLst>
        </c:ser>
        <c:ser>
          <c:idx val="2"/>
          <c:order val="2"/>
          <c:spPr>
            <a:ln w="31750"/>
          </c:spPr>
          <c:marker>
            <c:symbol val="triangle"/>
            <c:size val="7"/>
            <c:spPr>
              <a:ln>
                <a:solidFill>
                  <a:schemeClr val="bg1"/>
                </a:solidFill>
              </a:ln>
            </c:spPr>
          </c:marker>
          <c:val>
            <c:numLit>
              <c:formatCode>General</c:formatCode>
              <c:ptCount val="1"/>
              <c:pt idx="0">
                <c:v>0</c:v>
              </c:pt>
            </c:numLit>
          </c:val>
          <c:smooth val="0"/>
          <c:extLst>
            <c:ext xmlns:c16="http://schemas.microsoft.com/office/drawing/2014/chart" uri="{C3380CC4-5D6E-409C-BE32-E72D297353CC}">
              <c16:uniqueId val="{00000002-157B-4DA4-9B7B-B3261D3AC2DE}"/>
            </c:ext>
          </c:extLst>
        </c:ser>
        <c:dLbls>
          <c:showLegendKey val="0"/>
          <c:showVal val="0"/>
          <c:showCatName val="0"/>
          <c:showSerName val="0"/>
          <c:showPercent val="0"/>
          <c:showBubbleSize val="0"/>
        </c:dLbls>
        <c:marker val="1"/>
        <c:smooth val="0"/>
        <c:axId val="80809984"/>
        <c:axId val="80811904"/>
      </c:lineChart>
      <c:catAx>
        <c:axId val="80809984"/>
        <c:scaling>
          <c:orientation val="minMax"/>
        </c:scaling>
        <c:delete val="0"/>
        <c:axPos val="b"/>
        <c:numFmt formatCode="General" sourceLinked="1"/>
        <c:majorTickMark val="none"/>
        <c:minorTickMark val="cross"/>
        <c:tickLblPos val="nextTo"/>
        <c:crossAx val="80811904"/>
        <c:crosses val="autoZero"/>
        <c:auto val="1"/>
        <c:lblAlgn val="ctr"/>
        <c:lblOffset val="100"/>
        <c:noMultiLvlLbl val="0"/>
      </c:catAx>
      <c:valAx>
        <c:axId val="80811904"/>
        <c:scaling>
          <c:orientation val="minMax"/>
        </c:scaling>
        <c:delete val="0"/>
        <c:axPos val="l"/>
        <c:majorGridlines/>
        <c:numFmt formatCode="General" sourceLinked="1"/>
        <c:majorTickMark val="out"/>
        <c:minorTickMark val="none"/>
        <c:tickLblPos val="nextTo"/>
        <c:crossAx val="80809984"/>
        <c:crosses val="autoZero"/>
        <c:crossBetween val="between"/>
      </c:valAx>
    </c:plotArea>
    <c:legend>
      <c:legendPos val="r"/>
      <c:layout>
        <c:manualLayout>
          <c:xMode val="edge"/>
          <c:yMode val="edge"/>
          <c:x val="0.22042798443298037"/>
          <c:y val="0.72573928258967635"/>
          <c:w val="0.27901167526472981"/>
          <c:h val="0.15525809273840774"/>
        </c:manualLayout>
      </c:layout>
      <c:overlay val="0"/>
    </c:legend>
    <c:plotVisOnly val="1"/>
    <c:dispBlanksAs val="gap"/>
    <c:showDLblsOverMax val="0"/>
  </c:chart>
  <c:printSettings>
    <c:headerFooter/>
    <c:pageMargins b="0.78740157499999996" l="0.70000000000000062" r="0.70000000000000062" t="0.78740157499999996"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de-AT" sz="1400" b="1" i="0" baseline="0"/>
              <a:t>Costs per kilometer</a:t>
            </a:r>
            <a:endParaRPr lang="de-AT" sz="1400"/>
          </a:p>
        </c:rich>
      </c:tx>
      <c:layout>
        <c:manualLayout>
          <c:xMode val="edge"/>
          <c:yMode val="edge"/>
          <c:x val="0.3132674910481551"/>
          <c:y val="2.1607147591399561E-2"/>
        </c:manualLayout>
      </c:layout>
      <c:overlay val="1"/>
    </c:title>
    <c:autoTitleDeleted val="0"/>
    <c:plotArea>
      <c:layout>
        <c:manualLayout>
          <c:layoutTarget val="inner"/>
          <c:xMode val="edge"/>
          <c:yMode val="edge"/>
          <c:x val="0.35318351742762738"/>
          <c:y val="0.14963725330439043"/>
          <c:w val="0.52834248042505449"/>
          <c:h val="0.63280511148227725"/>
        </c:manualLayout>
      </c:layout>
      <c:barChart>
        <c:barDir val="col"/>
        <c:grouping val="clustered"/>
        <c:varyColors val="0"/>
        <c:ser>
          <c:idx val="0"/>
          <c:order val="0"/>
          <c:spPr>
            <a:solidFill>
              <a:srgbClr val="FFC000"/>
            </a:solidFill>
            <a:ln>
              <a:solidFill>
                <a:srgbClr val="CC7900"/>
              </a:solidFill>
            </a:ln>
          </c:spPr>
          <c:invertIfNegative val="0"/>
          <c:dPt>
            <c:idx val="1"/>
            <c:invertIfNegative val="0"/>
            <c:bubble3D val="0"/>
            <c:spPr>
              <a:solidFill>
                <a:schemeClr val="bg2">
                  <a:lumMod val="75000"/>
                </a:schemeClr>
              </a:solidFill>
              <a:ln>
                <a:solidFill>
                  <a:schemeClr val="bg2">
                    <a:lumMod val="50000"/>
                  </a:schemeClr>
                </a:solidFill>
              </a:ln>
            </c:spPr>
            <c:extLst>
              <c:ext xmlns:c16="http://schemas.microsoft.com/office/drawing/2014/chart" uri="{C3380CC4-5D6E-409C-BE32-E72D297353CC}">
                <c16:uniqueId val="{00000001-C8A4-40AC-A0E8-A2AC59895A14}"/>
              </c:ext>
            </c:extLst>
          </c:dPt>
          <c:dLbls>
            <c:dLbl>
              <c:idx val="0"/>
              <c:spPr/>
              <c:txPr>
                <a:bodyPr/>
                <a:lstStyle/>
                <a:p>
                  <a:pPr>
                    <a:defRPr b="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8A4-40AC-A0E8-A2AC59895A14}"/>
                </c:ext>
              </c:extLst>
            </c:dLbl>
            <c:dLbl>
              <c:idx val="1"/>
              <c:spPr/>
              <c:txPr>
                <a:bodyPr/>
                <a:lstStyle/>
                <a:p>
                  <a:pPr>
                    <a:defRPr b="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8A4-40AC-A0E8-A2AC59895A1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('Auto-Vergleich'!$E$11,'Auto-Vergleich'!$E$47)</c:f>
              <c:strCache>
                <c:ptCount val="2"/>
                <c:pt idx="0">
                  <c:v>i30 Fastback 1.4T - GDI - Level 4</c:v>
                </c:pt>
                <c:pt idx="1">
                  <c:v>Ioniq electric Premium (AT)</c:v>
                </c:pt>
              </c:strCache>
            </c:strRef>
          </c:cat>
          <c:val>
            <c:numRef>
              <c:f>('Auto-Vergleich'!$K$18,'Auto-Vergleich'!$K$54)</c:f>
              <c:numCache>
                <c:formatCode>#,##0.0</c:formatCode>
                <c:ptCount val="2"/>
                <c:pt idx="0">
                  <c:v>42.063913714251456</c:v>
                </c:pt>
                <c:pt idx="1">
                  <c:v>29.619477872230821</c:v>
                </c:pt>
              </c:numCache>
            </c:numRef>
          </c:val>
          <c:extLst>
            <c:ext xmlns:c16="http://schemas.microsoft.com/office/drawing/2014/chart" uri="{C3380CC4-5D6E-409C-BE32-E72D297353CC}">
              <c16:uniqueId val="{00000003-C8A4-40AC-A0E8-A2AC59895A14}"/>
            </c:ext>
          </c:extLst>
        </c:ser>
        <c:dLbls>
          <c:showLegendKey val="0"/>
          <c:showVal val="0"/>
          <c:showCatName val="0"/>
          <c:showSerName val="0"/>
          <c:showPercent val="0"/>
          <c:showBubbleSize val="0"/>
        </c:dLbls>
        <c:gapWidth val="150"/>
        <c:axId val="81952768"/>
        <c:axId val="81954304"/>
      </c:barChart>
      <c:catAx>
        <c:axId val="81952768"/>
        <c:scaling>
          <c:orientation val="minMax"/>
        </c:scaling>
        <c:delete val="0"/>
        <c:axPos val="b"/>
        <c:numFmt formatCode="General" sourceLinked="1"/>
        <c:majorTickMark val="out"/>
        <c:minorTickMark val="none"/>
        <c:tickLblPos val="nextTo"/>
        <c:txPr>
          <a:bodyPr rot="-5400000" vert="horz"/>
          <a:lstStyle/>
          <a:p>
            <a:pPr>
              <a:defRPr/>
            </a:pPr>
            <a:endParaRPr lang="de-DE"/>
          </a:p>
        </c:txPr>
        <c:crossAx val="81954304"/>
        <c:crosses val="autoZero"/>
        <c:auto val="1"/>
        <c:lblAlgn val="ctr"/>
        <c:lblOffset val="100"/>
        <c:noMultiLvlLbl val="0"/>
      </c:catAx>
      <c:valAx>
        <c:axId val="81954304"/>
        <c:scaling>
          <c:orientation val="minMax"/>
          <c:min val="0"/>
        </c:scaling>
        <c:delete val="0"/>
        <c:axPos val="l"/>
        <c:majorGridlines/>
        <c:title>
          <c:tx>
            <c:rich>
              <a:bodyPr rot="-5400000" vert="horz"/>
              <a:lstStyle/>
              <a:p>
                <a:pPr>
                  <a:defRPr sz="1200"/>
                </a:pPr>
                <a:r>
                  <a:rPr lang="de-AT" sz="1200"/>
                  <a:t>Long range marginal costs in Cent/km</a:t>
                </a:r>
              </a:p>
            </c:rich>
          </c:tx>
          <c:layout>
            <c:manualLayout>
              <c:xMode val="edge"/>
              <c:yMode val="edge"/>
              <c:x val="5.5173309521876775E-2"/>
              <c:y val="0.16430870383626289"/>
            </c:manualLayout>
          </c:layout>
          <c:overlay val="0"/>
        </c:title>
        <c:numFmt formatCode="#,##0.0_ ;[Red]\-#,##0.0\ " sourceLinked="0"/>
        <c:majorTickMark val="cross"/>
        <c:minorTickMark val="in"/>
        <c:tickLblPos val="nextTo"/>
        <c:crossAx val="81952768"/>
        <c:crosses val="autoZero"/>
        <c:crossBetween val="between"/>
      </c:valAx>
    </c:plotArea>
    <c:plotVisOnly val="1"/>
    <c:dispBlanksAs val="gap"/>
    <c:showDLblsOverMax val="0"/>
  </c:chart>
  <c:txPr>
    <a:bodyPr/>
    <a:lstStyle/>
    <a:p>
      <a:pPr>
        <a:defRPr b="1">
          <a:latin typeface="Arial" pitchFamily="34" charset="0"/>
          <a:cs typeface="Arial" pitchFamily="34" charset="0"/>
        </a:defRPr>
      </a:pPr>
      <a:endParaRPr lang="de-DE"/>
    </a:p>
  </c:txPr>
  <c:printSettings>
    <c:headerFooter/>
    <c:pageMargins b="0.78740157499999996" l="0.70000000000000062" r="0.70000000000000062" t="0.78740157499999996"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de-AT" sz="1400" b="1" i="0" baseline="0"/>
              <a:t>CO</a:t>
            </a:r>
            <a:r>
              <a:rPr lang="de-AT" sz="1400" b="1" i="0" baseline="-25000"/>
              <a:t>2</a:t>
            </a:r>
            <a:r>
              <a:rPr lang="de-AT" sz="1400" b="1" i="0" baseline="0"/>
              <a:t> Footprint </a:t>
            </a:r>
            <a:endParaRPr lang="de-AT" sz="1400" b="0"/>
          </a:p>
        </c:rich>
      </c:tx>
      <c:layout>
        <c:manualLayout>
          <c:xMode val="edge"/>
          <c:yMode val="edge"/>
          <c:x val="0.28442152048067165"/>
          <c:y val="2.1607106803957197E-2"/>
        </c:manualLayout>
      </c:layout>
      <c:overlay val="1"/>
    </c:title>
    <c:autoTitleDeleted val="0"/>
    <c:plotArea>
      <c:layout>
        <c:manualLayout>
          <c:layoutTarget val="inner"/>
          <c:xMode val="edge"/>
          <c:yMode val="edge"/>
          <c:x val="0.29971148107786927"/>
          <c:y val="0.14963725330439043"/>
          <c:w val="0.55726564715635152"/>
          <c:h val="0.63819231686948286"/>
        </c:manualLayout>
      </c:layout>
      <c:barChart>
        <c:barDir val="col"/>
        <c:grouping val="clustered"/>
        <c:varyColors val="0"/>
        <c:ser>
          <c:idx val="0"/>
          <c:order val="0"/>
          <c:spPr>
            <a:solidFill>
              <a:srgbClr val="FFC000"/>
            </a:solidFill>
            <a:ln>
              <a:solidFill>
                <a:srgbClr val="CC7900"/>
              </a:solidFill>
            </a:ln>
          </c:spPr>
          <c:invertIfNegative val="0"/>
          <c:dPt>
            <c:idx val="1"/>
            <c:invertIfNegative val="0"/>
            <c:bubble3D val="0"/>
            <c:spPr>
              <a:solidFill>
                <a:schemeClr val="bg2">
                  <a:lumMod val="75000"/>
                </a:schemeClr>
              </a:solidFill>
              <a:ln>
                <a:solidFill>
                  <a:schemeClr val="bg2">
                    <a:lumMod val="50000"/>
                  </a:schemeClr>
                </a:solidFill>
              </a:ln>
            </c:spPr>
            <c:extLst>
              <c:ext xmlns:c16="http://schemas.microsoft.com/office/drawing/2014/chart" uri="{C3380CC4-5D6E-409C-BE32-E72D297353CC}">
                <c16:uniqueId val="{00000001-12DB-4B79-B7F0-C66CEC1362FC}"/>
              </c:ext>
            </c:extLst>
          </c:dPt>
          <c:dLbls>
            <c:spPr>
              <a:noFill/>
              <a:ln>
                <a:noFill/>
              </a:ln>
              <a:effectLst/>
            </c:spPr>
            <c:txPr>
              <a:bodyPr/>
              <a:lstStyle/>
              <a:p>
                <a:pPr>
                  <a:defRPr b="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('Auto-Vergleich'!$E$11,'Auto-Vergleich'!$E$47)</c:f>
              <c:strCache>
                <c:ptCount val="2"/>
                <c:pt idx="0">
                  <c:v>i30 Fastback 1.4T - GDI - Level 4</c:v>
                </c:pt>
                <c:pt idx="1">
                  <c:v>Ioniq electric Premium (AT)</c:v>
                </c:pt>
              </c:strCache>
            </c:strRef>
          </c:cat>
          <c:val>
            <c:numRef>
              <c:f>('Auto-Vergleich'!$K$21,'Auto-Vergleich'!$K$57)</c:f>
              <c:numCache>
                <c:formatCode>#,##0.0</c:formatCode>
                <c:ptCount val="2"/>
                <c:pt idx="0">
                  <c:v>20.099999999999998</c:v>
                </c:pt>
                <c:pt idx="1">
                  <c:v>0</c:v>
                </c:pt>
              </c:numCache>
            </c:numRef>
          </c:val>
          <c:extLst>
            <c:ext xmlns:c16="http://schemas.microsoft.com/office/drawing/2014/chart" uri="{C3380CC4-5D6E-409C-BE32-E72D297353CC}">
              <c16:uniqueId val="{00000002-12DB-4B79-B7F0-C66CEC1362FC}"/>
            </c:ext>
          </c:extLst>
        </c:ser>
        <c:dLbls>
          <c:showLegendKey val="0"/>
          <c:showVal val="0"/>
          <c:showCatName val="0"/>
          <c:showSerName val="0"/>
          <c:showPercent val="0"/>
          <c:showBubbleSize val="0"/>
        </c:dLbls>
        <c:gapWidth val="150"/>
        <c:axId val="81362304"/>
        <c:axId val="81364096"/>
      </c:barChart>
      <c:catAx>
        <c:axId val="81362304"/>
        <c:scaling>
          <c:orientation val="minMax"/>
        </c:scaling>
        <c:delete val="0"/>
        <c:axPos val="b"/>
        <c:numFmt formatCode="General" sourceLinked="1"/>
        <c:majorTickMark val="out"/>
        <c:minorTickMark val="none"/>
        <c:tickLblPos val="nextTo"/>
        <c:txPr>
          <a:bodyPr rot="-5400000" vert="horz"/>
          <a:lstStyle/>
          <a:p>
            <a:pPr>
              <a:defRPr/>
            </a:pPr>
            <a:endParaRPr lang="de-DE"/>
          </a:p>
        </c:txPr>
        <c:crossAx val="81364096"/>
        <c:crosses val="autoZero"/>
        <c:auto val="1"/>
        <c:lblAlgn val="ctr"/>
        <c:lblOffset val="100"/>
        <c:noMultiLvlLbl val="0"/>
      </c:catAx>
      <c:valAx>
        <c:axId val="81364096"/>
        <c:scaling>
          <c:orientation val="minMax"/>
          <c:min val="0"/>
        </c:scaling>
        <c:delete val="0"/>
        <c:axPos val="l"/>
        <c:majorGridlines/>
        <c:title>
          <c:tx>
            <c:rich>
              <a:bodyPr rot="-5400000" vert="horz"/>
              <a:lstStyle/>
              <a:p>
                <a:pPr>
                  <a:defRPr sz="1200"/>
                </a:pPr>
                <a:r>
                  <a:rPr lang="de-AT" sz="1200"/>
                  <a:t>Emissions in ton CO</a:t>
                </a:r>
                <a:r>
                  <a:rPr lang="de-AT" sz="1200" baseline="-25000"/>
                  <a:t>2</a:t>
                </a:r>
              </a:p>
            </c:rich>
          </c:tx>
          <c:layout>
            <c:manualLayout>
              <c:xMode val="edge"/>
              <c:yMode val="edge"/>
              <c:x val="5.4317356671879431E-2"/>
              <c:y val="0.30848693508453146"/>
            </c:manualLayout>
          </c:layout>
          <c:overlay val="0"/>
        </c:title>
        <c:numFmt formatCode="#,##0.0" sourceLinked="0"/>
        <c:majorTickMark val="cross"/>
        <c:minorTickMark val="in"/>
        <c:tickLblPos val="nextTo"/>
        <c:crossAx val="81362304"/>
        <c:crosses val="autoZero"/>
        <c:crossBetween val="between"/>
      </c:valAx>
    </c:plotArea>
    <c:plotVisOnly val="1"/>
    <c:dispBlanksAs val="gap"/>
    <c:showDLblsOverMax val="0"/>
  </c:chart>
  <c:txPr>
    <a:bodyPr/>
    <a:lstStyle/>
    <a:p>
      <a:pPr>
        <a:defRPr b="1">
          <a:latin typeface="Arial" pitchFamily="34" charset="0"/>
          <a:cs typeface="Arial" pitchFamily="34" charset="0"/>
        </a:defRPr>
      </a:pPr>
      <a:endParaRPr lang="de-DE"/>
    </a:p>
  </c:txPr>
  <c:printSettings>
    <c:headerFooter/>
    <c:pageMargins b="0.78740157499999996" l="0.70000000000000062" r="0.70000000000000062" t="0.78740157499999996"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3</xdr:col>
      <xdr:colOff>0</xdr:colOff>
      <xdr:row>101</xdr:row>
      <xdr:rowOff>0</xdr:rowOff>
    </xdr:from>
    <xdr:to>
      <xdr:col>15</xdr:col>
      <xdr:colOff>95250</xdr:colOff>
      <xdr:row>125</xdr:row>
      <xdr:rowOff>133350</xdr:rowOff>
    </xdr:to>
    <xdr:graphicFrame macro="">
      <xdr:nvGraphicFramePr>
        <xdr:cNvPr id="10330" name="Diagramm 3">
          <a:extLst>
            <a:ext uri="{FF2B5EF4-FFF2-40B4-BE49-F238E27FC236}">
              <a16:creationId xmlns:a16="http://schemas.microsoft.com/office/drawing/2014/main" id="{00000000-0008-0000-0000-00005A2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59</xdr:col>
      <xdr:colOff>257175</xdr:colOff>
      <xdr:row>125</xdr:row>
      <xdr:rowOff>114300</xdr:rowOff>
    </xdr:from>
    <xdr:to>
      <xdr:col>66</xdr:col>
      <xdr:colOff>685800</xdr:colOff>
      <xdr:row>128</xdr:row>
      <xdr:rowOff>0</xdr:rowOff>
    </xdr:to>
    <xdr:graphicFrame macro="">
      <xdr:nvGraphicFramePr>
        <xdr:cNvPr id="10331" name="Diagramm 6">
          <a:extLst>
            <a:ext uri="{FF2B5EF4-FFF2-40B4-BE49-F238E27FC236}">
              <a16:creationId xmlns:a16="http://schemas.microsoft.com/office/drawing/2014/main" id="{00000000-0008-0000-0000-00005B2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569397</xdr:colOff>
      <xdr:row>105</xdr:row>
      <xdr:rowOff>136571</xdr:rowOff>
    </xdr:from>
    <xdr:to>
      <xdr:col>9</xdr:col>
      <xdr:colOff>580605</xdr:colOff>
      <xdr:row>122</xdr:row>
      <xdr:rowOff>158982</xdr:rowOff>
    </xdr:to>
    <xdr:cxnSp macro="">
      <xdr:nvCxnSpPr>
        <xdr:cNvPr id="4" name="Gerade Verbindung 3">
          <a:extLst>
            <a:ext uri="{FF2B5EF4-FFF2-40B4-BE49-F238E27FC236}">
              <a16:creationId xmlns:a16="http://schemas.microsoft.com/office/drawing/2014/main" id="{00000000-0008-0000-0000-000004000000}"/>
            </a:ext>
          </a:extLst>
        </xdr:cNvPr>
        <xdr:cNvCxnSpPr/>
      </xdr:nvCxnSpPr>
      <xdr:spPr>
        <a:xfrm>
          <a:off x="5674797" y="12795296"/>
          <a:ext cx="11208" cy="3270436"/>
        </a:xfrm>
        <a:prstGeom prst="line">
          <a:avLst/>
        </a:prstGeom>
        <a:ln w="3175">
          <a:solidFill>
            <a:srgbClr val="00B0F0"/>
          </a:solidFill>
          <a:prstDash val="lg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50426</xdr:colOff>
      <xdr:row>105</xdr:row>
      <xdr:rowOff>136572</xdr:rowOff>
    </xdr:from>
    <xdr:to>
      <xdr:col>13</xdr:col>
      <xdr:colOff>72839</xdr:colOff>
      <xdr:row>122</xdr:row>
      <xdr:rowOff>136571</xdr:rowOff>
    </xdr:to>
    <xdr:cxnSp macro="">
      <xdr:nvCxnSpPr>
        <xdr:cNvPr id="5" name="Gerade Verbindung 4">
          <a:extLst>
            <a:ext uri="{FF2B5EF4-FFF2-40B4-BE49-F238E27FC236}">
              <a16:creationId xmlns:a16="http://schemas.microsoft.com/office/drawing/2014/main" id="{00000000-0008-0000-0000-000005000000}"/>
            </a:ext>
          </a:extLst>
        </xdr:cNvPr>
        <xdr:cNvCxnSpPr/>
      </xdr:nvCxnSpPr>
      <xdr:spPr>
        <a:xfrm>
          <a:off x="7394201" y="12795297"/>
          <a:ext cx="22413" cy="3248024"/>
        </a:xfrm>
        <a:prstGeom prst="line">
          <a:avLst/>
        </a:prstGeom>
        <a:ln w="3175">
          <a:solidFill>
            <a:srgbClr val="00B0F0"/>
          </a:solidFill>
          <a:prstDash val="lg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176213</xdr:colOff>
      <xdr:row>101</xdr:row>
      <xdr:rowOff>0</xdr:rowOff>
    </xdr:from>
    <xdr:to>
      <xdr:col>19</xdr:col>
      <xdr:colOff>47625</xdr:colOff>
      <xdr:row>125</xdr:row>
      <xdr:rowOff>133350</xdr:rowOff>
    </xdr:to>
    <xdr:graphicFrame macro="">
      <xdr:nvGraphicFramePr>
        <xdr:cNvPr id="10334" name="Diagramm 18">
          <a:extLst>
            <a:ext uri="{FF2B5EF4-FFF2-40B4-BE49-F238E27FC236}">
              <a16:creationId xmlns:a16="http://schemas.microsoft.com/office/drawing/2014/main" id="{00000000-0008-0000-0000-00005E2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128587</xdr:colOff>
      <xdr:row>100</xdr:row>
      <xdr:rowOff>47625</xdr:rowOff>
    </xdr:from>
    <xdr:to>
      <xdr:col>21</xdr:col>
      <xdr:colOff>702469</xdr:colOff>
      <xdr:row>125</xdr:row>
      <xdr:rowOff>114300</xdr:rowOff>
    </xdr:to>
    <xdr:graphicFrame macro="">
      <xdr:nvGraphicFramePr>
        <xdr:cNvPr id="10335" name="Diagramm 18">
          <a:extLst>
            <a:ext uri="{FF2B5EF4-FFF2-40B4-BE49-F238E27FC236}">
              <a16:creationId xmlns:a16="http://schemas.microsoft.com/office/drawing/2014/main" id="{00000000-0008-0000-0000-00005F2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1940725</xdr:colOff>
      <xdr:row>46</xdr:row>
      <xdr:rowOff>11906</xdr:rowOff>
    </xdr:from>
    <xdr:to>
      <xdr:col>3</xdr:col>
      <xdr:colOff>428631</xdr:colOff>
      <xdr:row>46</xdr:row>
      <xdr:rowOff>357187</xdr:rowOff>
    </xdr:to>
    <xdr:sp macro="" textlink="">
      <xdr:nvSpPr>
        <xdr:cNvPr id="8" name="Pfeil nach rechts 7">
          <a:extLst>
            <a:ext uri="{FF2B5EF4-FFF2-40B4-BE49-F238E27FC236}">
              <a16:creationId xmlns:a16="http://schemas.microsoft.com/office/drawing/2014/main" id="{00000000-0008-0000-0000-000008000000}"/>
            </a:ext>
          </a:extLst>
        </xdr:cNvPr>
        <xdr:cNvSpPr/>
      </xdr:nvSpPr>
      <xdr:spPr>
        <a:xfrm>
          <a:off x="2047881" y="7500937"/>
          <a:ext cx="881063" cy="345281"/>
        </a:xfrm>
        <a:prstGeom prst="rightArrow">
          <a:avLst>
            <a:gd name="adj1" fmla="val 50000"/>
            <a:gd name="adj2" fmla="val 50000"/>
          </a:avLst>
        </a:prstGeom>
        <a:solidFill>
          <a:srgbClr val="C00000"/>
        </a:solidFill>
        <a:ln>
          <a:solidFill>
            <a:srgbClr val="C00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de-AT" sz="1100" b="1">
              <a:solidFill>
                <a:srgbClr val="FFFF00"/>
              </a:solidFill>
            </a:rPr>
            <a:t>Select car!</a:t>
          </a:r>
        </a:p>
      </xdr:txBody>
    </xdr:sp>
    <xdr:clientData/>
  </xdr:twoCellAnchor>
  <xdr:twoCellAnchor>
    <xdr:from>
      <xdr:col>1</xdr:col>
      <xdr:colOff>1988348</xdr:colOff>
      <xdr:row>10</xdr:row>
      <xdr:rowOff>11906</xdr:rowOff>
    </xdr:from>
    <xdr:to>
      <xdr:col>3</xdr:col>
      <xdr:colOff>559597</xdr:colOff>
      <xdr:row>10</xdr:row>
      <xdr:rowOff>357187</xdr:rowOff>
    </xdr:to>
    <xdr:sp macro="" textlink="">
      <xdr:nvSpPr>
        <xdr:cNvPr id="9" name="Pfeil nach rechts 8">
          <a:extLst>
            <a:ext uri="{FF2B5EF4-FFF2-40B4-BE49-F238E27FC236}">
              <a16:creationId xmlns:a16="http://schemas.microsoft.com/office/drawing/2014/main" id="{00000000-0008-0000-0000-000009000000}"/>
            </a:ext>
          </a:extLst>
        </xdr:cNvPr>
        <xdr:cNvSpPr/>
      </xdr:nvSpPr>
      <xdr:spPr>
        <a:xfrm>
          <a:off x="2095504" y="1631156"/>
          <a:ext cx="964406" cy="345281"/>
        </a:xfrm>
        <a:prstGeom prst="rightArrow">
          <a:avLst>
            <a:gd name="adj1" fmla="val 50000"/>
            <a:gd name="adj2" fmla="val 50000"/>
          </a:avLst>
        </a:prstGeom>
        <a:solidFill>
          <a:srgbClr val="C00000"/>
        </a:solidFill>
        <a:ln>
          <a:solidFill>
            <a:srgbClr val="C00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de-AT" sz="1100" b="1">
              <a:solidFill>
                <a:srgbClr val="FFFF00"/>
              </a:solidFill>
            </a:rPr>
            <a:t>Select car!</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0.12951</cdr:x>
      <cdr:y>0.80556</cdr:y>
    </cdr:from>
    <cdr:to>
      <cdr:x>0.5064</cdr:x>
      <cdr:y>0.86111</cdr:y>
    </cdr:to>
    <cdr:sp macro="" textlink="'Auto-Vergleich'!$S$1">
      <cdr:nvSpPr>
        <cdr:cNvPr id="2" name="Textfeld 1"/>
        <cdr:cNvSpPr txBox="1"/>
      </cdr:nvSpPr>
      <cdr:spPr>
        <a:xfrm xmlns:a="http://schemas.openxmlformats.org/drawingml/2006/main">
          <a:off x="1059655" y="3798093"/>
          <a:ext cx="3083719" cy="26193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CAF13B59-7A43-4927-BEA4-9CA46DB6B35E}" type="TxLink">
            <a:rPr lang="en-US" sz="1000" b="0" i="0" u="none" strike="noStrike">
              <a:solidFill>
                <a:srgbClr val="000000"/>
              </a:solidFill>
              <a:latin typeface="Tahoma" pitchFamily="34" charset="0"/>
              <a:ea typeface="Tahoma" pitchFamily="34" charset="0"/>
              <a:cs typeface="Tahoma" pitchFamily="34" charset="0"/>
            </a:rPr>
            <a:pPr/>
            <a:t> </a:t>
          </a:fld>
          <a:endParaRPr lang="de-AT" sz="1100" b="0">
            <a:latin typeface="Tahoma" pitchFamily="34" charset="0"/>
            <a:ea typeface="Tahoma" pitchFamily="34" charset="0"/>
            <a:cs typeface="Tahoma" pitchFamily="34" charset="0"/>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0.22552</cdr:x>
      <cdr:y>0.06702</cdr:y>
    </cdr:from>
    <cdr:to>
      <cdr:x>0.88306</cdr:x>
      <cdr:y>0.11665</cdr:y>
    </cdr:to>
    <cdr:sp macro="" textlink="'Auto-Vergleich'!$W$8">
      <cdr:nvSpPr>
        <cdr:cNvPr id="2" name="Textfeld 2"/>
        <cdr:cNvSpPr txBox="1"/>
      </cdr:nvSpPr>
      <cdr:spPr>
        <a:xfrm xmlns:a="http://schemas.openxmlformats.org/drawingml/2006/main">
          <a:off x="685246" y="319968"/>
          <a:ext cx="1997918" cy="23695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F01E37AF-C7B0-42CB-B866-6C15C1F018B9}" type="TxLink">
            <a:rPr lang="en-US" sz="1000" b="0" i="0" u="none" strike="noStrike">
              <a:solidFill>
                <a:sysClr val="windowText" lastClr="000000"/>
              </a:solidFill>
              <a:latin typeface="Tahomai"/>
              <a:ea typeface="Tahoma"/>
              <a:cs typeface="Tahoma"/>
            </a:rPr>
            <a:pPr algn="ctr"/>
            <a:t> </a:t>
          </a:fld>
          <a:endParaRPr lang="de-AT" sz="1100">
            <a:solidFill>
              <a:sysClr val="windowText" lastClr="000000"/>
            </a:solidFill>
          </a:endParaRPr>
        </a:p>
      </cdr:txBody>
    </cdr:sp>
  </cdr:relSizeAnchor>
  <cdr:relSizeAnchor xmlns:cdr="http://schemas.openxmlformats.org/drawingml/2006/chartDrawing">
    <cdr:from>
      <cdr:x>0.32907</cdr:x>
      <cdr:y>0.08081</cdr:y>
    </cdr:from>
    <cdr:to>
      <cdr:x>0.9305</cdr:x>
      <cdr:y>0.12121</cdr:y>
    </cdr:to>
    <cdr:sp macro="" textlink="'Auto-Vergleich'!$W$10">
      <cdr:nvSpPr>
        <cdr:cNvPr id="4" name="Textfeld 1"/>
        <cdr:cNvSpPr txBox="1"/>
      </cdr:nvSpPr>
      <cdr:spPr>
        <a:xfrm xmlns:a="http://schemas.openxmlformats.org/drawingml/2006/main">
          <a:off x="854918" y="381000"/>
          <a:ext cx="1562464" cy="190500"/>
        </a:xfrm>
        <a:prstGeom xmlns:a="http://schemas.openxmlformats.org/drawingml/2006/main" prst="rect">
          <a:avLst/>
        </a:prstGeom>
      </cdr:spPr>
      <cdr:txBody>
        <a:bodyPr xmlns:a="http://schemas.openxmlformats.org/drawingml/2006/main" wrap="none" rtlCol="0" anchor="ct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BB5AB61-C04D-44F5-99CD-B574707C94A9}" type="TxLink">
            <a:rPr lang="en-US" sz="1000" b="0" i="0" u="none" strike="noStrike">
              <a:solidFill>
                <a:sysClr val="windowText" lastClr="000000"/>
              </a:solidFill>
              <a:latin typeface="Tahomai"/>
              <a:cs typeface="Calibri"/>
            </a:rPr>
            <a:pPr algn="ctr"/>
            <a:t>Investment horizon 10 years</a:t>
          </a:fld>
          <a:endParaRPr lang="de-AT" sz="1100">
            <a:solidFill>
              <a:sysClr val="windowText" lastClr="000000"/>
            </a:solidFill>
          </a:endParaRPr>
        </a:p>
      </cdr:txBody>
    </cdr:sp>
  </cdr:relSizeAnchor>
  <cdr:relSizeAnchor xmlns:cdr="http://schemas.openxmlformats.org/drawingml/2006/chartDrawing">
    <cdr:from>
      <cdr:x>0.87885</cdr:x>
      <cdr:y>0.13131</cdr:y>
    </cdr:from>
    <cdr:to>
      <cdr:x>0.97237</cdr:x>
      <cdr:y>0.60606</cdr:y>
    </cdr:to>
    <cdr:sp macro="" textlink="'Auto-Vergleich'!$S$1">
      <cdr:nvSpPr>
        <cdr:cNvPr id="5" name="Textfeld 4"/>
        <cdr:cNvSpPr txBox="1"/>
      </cdr:nvSpPr>
      <cdr:spPr>
        <a:xfrm xmlns:a="http://schemas.openxmlformats.org/drawingml/2006/main" rot="16200000">
          <a:off x="1439790" y="1609035"/>
          <a:ext cx="2238375" cy="25855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r"/>
          <a:fld id="{2171371B-7F8A-4C83-88A7-C5B717BF4571}" type="TxLink">
            <a:rPr lang="en-US" sz="1000" b="0" i="0" u="none" strike="noStrike">
              <a:solidFill>
                <a:srgbClr val="000000"/>
              </a:solidFill>
              <a:latin typeface="Tahoma" pitchFamily="34" charset="0"/>
              <a:ea typeface="Tahoma" pitchFamily="34" charset="0"/>
              <a:cs typeface="Tahoma" pitchFamily="34" charset="0"/>
            </a:rPr>
            <a:pPr algn="r"/>
            <a:t> </a:t>
          </a:fld>
          <a:endParaRPr lang="de-AT" sz="1100">
            <a:latin typeface="Tahoma" pitchFamily="34" charset="0"/>
            <a:ea typeface="Tahoma" pitchFamily="34" charset="0"/>
            <a:cs typeface="Tahoma"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0.17525</cdr:x>
      <cdr:y>0.15534</cdr:y>
    </cdr:from>
    <cdr:to>
      <cdr:x>0.83279</cdr:x>
      <cdr:y>0.20497</cdr:y>
    </cdr:to>
    <cdr:sp macro="" textlink="'Auto-Vergleich'!$W$8">
      <cdr:nvSpPr>
        <cdr:cNvPr id="3" name="Textfeld 2"/>
        <cdr:cNvSpPr txBox="1"/>
      </cdr:nvSpPr>
      <cdr:spPr>
        <a:xfrm xmlns:a="http://schemas.openxmlformats.org/drawingml/2006/main">
          <a:off x="415234" y="732401"/>
          <a:ext cx="1557938" cy="2340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48058B75-F6A3-4373-A633-A2567CECA5B0}" type="TxLink">
            <a:rPr lang="en-US" sz="1000" b="0" i="0" u="none" strike="noStrike">
              <a:solidFill>
                <a:sysClr val="windowText" lastClr="000000"/>
              </a:solidFill>
              <a:latin typeface="Tahomai"/>
              <a:ea typeface="Tahoma"/>
              <a:cs typeface="Tahoma"/>
            </a:rPr>
            <a:pPr algn="ctr"/>
            <a:t> </a:t>
          </a:fld>
          <a:endParaRPr lang="de-AT" sz="1100">
            <a:solidFill>
              <a:sysClr val="windowText" lastClr="000000"/>
            </a:solidFill>
          </a:endParaRPr>
        </a:p>
      </cdr:txBody>
    </cdr:sp>
  </cdr:relSizeAnchor>
  <cdr:relSizeAnchor xmlns:cdr="http://schemas.openxmlformats.org/drawingml/2006/chartDrawing">
    <cdr:from>
      <cdr:x>0.17046</cdr:x>
      <cdr:y>0.08081</cdr:y>
    </cdr:from>
    <cdr:to>
      <cdr:x>0.92965</cdr:x>
      <cdr:y>0.12121</cdr:y>
    </cdr:to>
    <cdr:sp macro="" textlink="'Auto-Vergleich'!$W$10">
      <cdr:nvSpPr>
        <cdr:cNvPr id="4" name="Textfeld 3"/>
        <cdr:cNvSpPr txBox="1"/>
      </cdr:nvSpPr>
      <cdr:spPr>
        <a:xfrm xmlns:a="http://schemas.openxmlformats.org/drawingml/2006/main">
          <a:off x="403888" y="381003"/>
          <a:ext cx="1798767" cy="190500"/>
        </a:xfrm>
        <a:prstGeom xmlns:a="http://schemas.openxmlformats.org/drawingml/2006/main" prst="rect">
          <a:avLst/>
        </a:prstGeom>
      </cdr:spPr>
      <cdr:txBody>
        <a:bodyPr xmlns:a="http://schemas.openxmlformats.org/drawingml/2006/main" vertOverflow="clip" wrap="none" rtlCol="0" anchor="ctr"/>
        <a:lstStyle xmlns:a="http://schemas.openxmlformats.org/drawingml/2006/main"/>
        <a:p xmlns:a="http://schemas.openxmlformats.org/drawingml/2006/main">
          <a:pPr algn="ctr"/>
          <a:fld id="{95AF40BF-C5BE-47BB-955F-9BE266DA157C}" type="TxLink">
            <a:rPr lang="en-US" sz="1000" b="0" i="0" u="none" strike="noStrike">
              <a:solidFill>
                <a:sysClr val="windowText" lastClr="000000"/>
              </a:solidFill>
              <a:latin typeface="Tahomai"/>
              <a:cs typeface="Calibri"/>
            </a:rPr>
            <a:pPr algn="ctr"/>
            <a:t>Investment horizon 10 years</a:t>
          </a:fld>
          <a:endParaRPr lang="de-AT" sz="1100">
            <a:solidFill>
              <a:sysClr val="windowText" lastClr="000000"/>
            </a:solidFill>
          </a:endParaRPr>
        </a:p>
      </cdr:txBody>
    </cdr:sp>
  </cdr:relSizeAnchor>
  <cdr:relSizeAnchor xmlns:cdr="http://schemas.openxmlformats.org/drawingml/2006/chartDrawing">
    <cdr:from>
      <cdr:x>0.85471</cdr:x>
      <cdr:y>0.12879</cdr:y>
    </cdr:from>
    <cdr:to>
      <cdr:x>0.95671</cdr:x>
      <cdr:y>0.52525</cdr:y>
    </cdr:to>
    <cdr:sp macro="" textlink="'Auto-Vergleich'!$S$1">
      <cdr:nvSpPr>
        <cdr:cNvPr id="5" name="Textfeld 4"/>
        <cdr:cNvSpPr txBox="1"/>
      </cdr:nvSpPr>
      <cdr:spPr>
        <a:xfrm xmlns:a="http://schemas.openxmlformats.org/drawingml/2006/main" rot="16200000">
          <a:off x="1556365" y="1401583"/>
          <a:ext cx="1869282" cy="28055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r"/>
          <a:fld id="{E71BC095-E58C-47CD-8EE2-68D089B75D77}" type="TxLink">
            <a:rPr lang="en-US" sz="1000" b="0" i="0" u="none" strike="noStrike">
              <a:solidFill>
                <a:srgbClr val="000000"/>
              </a:solidFill>
              <a:latin typeface="Tahomai"/>
              <a:cs typeface="Calibri"/>
            </a:rPr>
            <a:pPr algn="r"/>
            <a:t> </a:t>
          </a:fld>
          <a:endParaRPr lang="de-AT" sz="1100"/>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https://austrian-my.sharepoint.com/UNI/Software/PVTOOL/PVTOOL_AE_Priv_0911_Vers2-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ustrian-my.sharepoint.com/07%20Uni/Homeworks/Working/REN_HW2_Kemendy_V7.2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eadaten\projekte\Dokumente%20und%20Einstellungen\fje\Lokale%20Einstellungen\Temporary%20Internet%20Files\OLK47\GenA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läuterungen"/>
      <sheetName val="Aktualisierungen"/>
      <sheetName val="Eingabe"/>
      <sheetName val="Ausrichtung"/>
      <sheetName val="Berechnungen"/>
      <sheetName val="Förderungen"/>
      <sheetName val="Wetterdaten"/>
      <sheetName val="PLZ-Zuordnung"/>
      <sheetName val="Strompreis"/>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HydroS Energetic"/>
      <sheetName val="HydroRO Energtic"/>
      <sheetName val="WEC Energetic"/>
      <sheetName val="WEC Details"/>
      <sheetName val="WEC Calc"/>
      <sheetName val="WEC Economic"/>
      <sheetName val="WEC Ecological"/>
      <sheetName val="PV Energetic"/>
      <sheetName val="PV Batt"/>
      <sheetName val="PV Economic"/>
      <sheetName val="PV Ecological"/>
      <sheetName val="BM Energetic"/>
      <sheetName val="BM Economic"/>
      <sheetName val="BM Ecological"/>
      <sheetName val="eMobil Energetic"/>
      <sheetName val="UNITS"/>
      <sheetName val="BM Investment"/>
      <sheetName val="Tabelle1"/>
      <sheetName val="EV1"/>
      <sheetName val="2011"/>
      <sheetName val="2012"/>
      <sheetName val="Tabelle3"/>
      <sheetName val="Tabelle4"/>
      <sheetName val="Strompreis"/>
      <sheetName val="PLZ-Zuordnung"/>
      <sheetName val="Wetterdaten"/>
      <sheetName val="Ausrichtung"/>
      <sheetName val="Tabelle9"/>
      <sheetName val="Biogas Energetic"/>
      <sheetName val="Biogas Economic"/>
      <sheetName val="Biogas Tools"/>
      <sheetName val="Biogas 1"/>
      <sheetName val="Tabelle2"/>
      <sheetName val="Biogas Daten"/>
      <sheetName val="Tabelle5"/>
      <sheetName val="Sol Thermie WW"/>
      <sheetName val="Sol Thermie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Multi-String"/>
      <sheetName val="Systemdesign"/>
      <sheetName val="Sunny Boy"/>
      <sheetName val="PV"/>
      <sheetName val="Solar"/>
      <sheetName val="Sprachmodul"/>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G242"/>
  <sheetViews>
    <sheetView tabSelected="1" zoomScale="80" zoomScaleNormal="80" workbookViewId="0">
      <selection activeCell="P4" sqref="P4"/>
    </sheetView>
  </sheetViews>
  <sheetFormatPr baseColWidth="10" defaultColWidth="11.3828125" defaultRowHeight="12.45" x14ac:dyDescent="0.3"/>
  <cols>
    <col min="1" max="1" width="1.53515625" style="1" customWidth="1"/>
    <col min="2" max="2" width="34.69140625" style="1" customWidth="1"/>
    <col min="3" max="3" width="1.3046875" style="1" customWidth="1"/>
    <col min="4" max="4" width="10.3046875" style="1" customWidth="1"/>
    <col min="5" max="5" width="12.69140625" style="1" customWidth="1"/>
    <col min="6" max="7" width="10.69140625" style="1" customWidth="1"/>
    <col min="8" max="8" width="8.69140625" style="1" customWidth="1"/>
    <col min="9" max="10" width="11.3046875" style="10" customWidth="1"/>
    <col min="11" max="11" width="10.53515625" style="1" customWidth="1"/>
    <col min="12" max="12" width="10.69140625" style="1" customWidth="1"/>
    <col min="13" max="13" width="1.3828125" style="1" customWidth="1"/>
    <col min="14" max="14" width="10.3046875" style="1" customWidth="1"/>
    <col min="15" max="15" width="12.69140625" style="1" customWidth="1"/>
    <col min="16" max="17" width="10.69140625" style="1" customWidth="1"/>
    <col min="18" max="18" width="8.69140625" style="1" customWidth="1"/>
    <col min="19" max="19" width="11.84375" style="1" customWidth="1"/>
    <col min="20" max="20" width="12.3828125" style="1" customWidth="1"/>
    <col min="21" max="21" width="11" style="1" customWidth="1"/>
    <col min="22" max="22" width="10.69140625" style="1" customWidth="1"/>
    <col min="23" max="23" width="12.84375" style="1" customWidth="1"/>
    <col min="24" max="24" width="12.3046875" style="1" customWidth="1"/>
    <col min="25" max="39" width="11.3828125" style="1"/>
    <col min="40" max="40" width="13.53515625" style="1" customWidth="1"/>
    <col min="41" max="41" width="15.3828125" style="1" customWidth="1"/>
    <col min="42" max="42" width="9.69140625" style="1" customWidth="1"/>
    <col min="43" max="43" width="10" style="1" customWidth="1"/>
    <col min="44" max="44" width="9.84375" style="1" customWidth="1"/>
    <col min="45" max="49" width="11.3828125" style="1"/>
    <col min="50" max="50" width="8.3046875" style="1" customWidth="1"/>
    <col min="51" max="51" width="9.3828125" style="1" customWidth="1"/>
    <col min="52" max="53" width="11.3828125" style="1"/>
    <col min="54" max="54" width="10" style="1" customWidth="1"/>
    <col min="55" max="55" width="10.53515625" style="1" customWidth="1"/>
    <col min="56" max="56" width="11.15234375" style="1" customWidth="1"/>
    <col min="57" max="58" width="9.15234375" style="1" customWidth="1"/>
    <col min="59" max="59" width="11.3828125" style="1"/>
    <col min="60" max="60" width="10.3046875" style="1" customWidth="1"/>
    <col min="61" max="61" width="29.69140625" style="1" customWidth="1"/>
    <col min="62" max="16384" width="11.3828125" style="1"/>
  </cols>
  <sheetData>
    <row r="1" spans="2:45" ht="34.5" customHeight="1" x14ac:dyDescent="0.3">
      <c r="B1" s="251" t="s">
        <v>0</v>
      </c>
      <c r="F1" s="273" t="s">
        <v>1</v>
      </c>
      <c r="G1" s="273"/>
      <c r="H1" s="273"/>
      <c r="I1" s="273"/>
      <c r="J1" s="273"/>
      <c r="K1" s="273"/>
      <c r="L1" s="273"/>
      <c r="M1" s="273"/>
      <c r="N1" s="273"/>
      <c r="O1" s="273"/>
      <c r="P1" s="273"/>
      <c r="Q1" s="273"/>
      <c r="R1" s="273"/>
      <c r="S1" s="273"/>
      <c r="T1" s="273"/>
    </row>
    <row r="2" spans="2:45" ht="15" x14ac:dyDescent="0.3">
      <c r="B2" s="2"/>
      <c r="D2" s="2" t="s">
        <v>2</v>
      </c>
      <c r="E2" s="2"/>
      <c r="F2" s="2"/>
      <c r="G2" s="2"/>
      <c r="H2" s="2"/>
      <c r="I2" s="2"/>
      <c r="J2" s="2"/>
      <c r="K2" s="2"/>
      <c r="L2" s="2"/>
      <c r="M2" s="2"/>
      <c r="N2" s="2"/>
      <c r="O2" s="2"/>
      <c r="P2" s="2"/>
      <c r="Q2" s="2"/>
      <c r="R2" s="2"/>
      <c r="S2" s="2"/>
      <c r="T2" s="2"/>
      <c r="U2" s="239"/>
      <c r="V2" s="2"/>
      <c r="W2" s="2"/>
      <c r="X2" s="2"/>
      <c r="Y2" s="2"/>
      <c r="Z2" s="2"/>
      <c r="AA2" s="2"/>
    </row>
    <row r="3" spans="2:45" x14ac:dyDescent="0.3">
      <c r="B3" s="2"/>
      <c r="D3" s="3" t="s">
        <v>3</v>
      </c>
      <c r="E3" s="3"/>
      <c r="F3" s="4">
        <v>10</v>
      </c>
      <c r="G3" s="3" t="s">
        <v>4</v>
      </c>
      <c r="I3" s="3" t="s">
        <v>5</v>
      </c>
      <c r="J3" s="3"/>
      <c r="K3" s="130">
        <v>75</v>
      </c>
      <c r="L3" s="3" t="s">
        <v>6</v>
      </c>
      <c r="N3" s="3" t="s">
        <v>7</v>
      </c>
      <c r="O3" s="3"/>
      <c r="P3" s="128">
        <v>27</v>
      </c>
      <c r="Q3" s="3" t="s">
        <v>8</v>
      </c>
      <c r="S3" s="3" t="s">
        <v>9</v>
      </c>
      <c r="T3" s="3"/>
      <c r="U3" s="129">
        <v>3.1E-2</v>
      </c>
      <c r="AE3" s="180"/>
      <c r="AH3" s="163"/>
      <c r="AI3" s="163"/>
      <c r="AJ3" s="163"/>
      <c r="AK3" s="163"/>
      <c r="AL3" s="163"/>
      <c r="AM3" s="163"/>
      <c r="AN3" s="163"/>
      <c r="AO3" s="163"/>
      <c r="AP3" s="163"/>
      <c r="AQ3" s="164"/>
      <c r="AR3" s="163"/>
    </row>
    <row r="4" spans="2:45" ht="13.75" x14ac:dyDescent="0.3">
      <c r="B4" s="2"/>
      <c r="D4" s="6" t="s">
        <v>10</v>
      </c>
      <c r="E4" s="6"/>
      <c r="F4" s="7">
        <v>0.02</v>
      </c>
      <c r="G4" s="6"/>
      <c r="I4" s="6" t="s">
        <v>11</v>
      </c>
      <c r="J4" s="8"/>
      <c r="K4" s="131">
        <v>200</v>
      </c>
      <c r="L4" s="9" t="s">
        <v>12</v>
      </c>
      <c r="N4" s="6" t="s">
        <v>13</v>
      </c>
      <c r="O4" s="6"/>
      <c r="P4" s="127">
        <v>1.63</v>
      </c>
      <c r="Q4" s="6" t="s">
        <v>14</v>
      </c>
      <c r="S4" s="6" t="s">
        <v>15</v>
      </c>
      <c r="T4" s="6"/>
      <c r="U4" s="126">
        <v>8.5699999999999998E-2</v>
      </c>
      <c r="AC4" s="210"/>
      <c r="AD4" s="211"/>
      <c r="AE4" s="274"/>
      <c r="AF4" s="274"/>
      <c r="AH4" s="17"/>
      <c r="AI4" s="17"/>
      <c r="AJ4" s="17"/>
      <c r="AK4" s="17"/>
      <c r="AL4" s="17"/>
      <c r="AM4" s="17"/>
      <c r="AN4" s="17"/>
      <c r="AO4" s="17"/>
      <c r="AP4" s="17"/>
      <c r="AQ4" s="165"/>
      <c r="AR4" s="133"/>
    </row>
    <row r="5" spans="2:45" ht="14.15" x14ac:dyDescent="0.4">
      <c r="B5" s="2"/>
      <c r="D5" s="6" t="s">
        <v>16</v>
      </c>
      <c r="E5" s="6"/>
      <c r="F5" s="126">
        <v>0.02</v>
      </c>
      <c r="G5" s="6"/>
      <c r="I5" s="6" t="s">
        <v>17</v>
      </c>
      <c r="J5" s="8"/>
      <c r="K5" s="124">
        <v>0</v>
      </c>
      <c r="L5" s="6" t="s">
        <v>18</v>
      </c>
      <c r="N5" s="6" t="s">
        <v>19</v>
      </c>
      <c r="O5" s="6"/>
      <c r="P5" s="127">
        <v>1.58</v>
      </c>
      <c r="Q5" s="6" t="s">
        <v>14</v>
      </c>
      <c r="S5" s="6" t="s">
        <v>20</v>
      </c>
      <c r="T5" s="6"/>
      <c r="U5" s="126">
        <v>8.5699999999999998E-2</v>
      </c>
      <c r="AE5" s="201"/>
      <c r="AH5" s="10"/>
      <c r="AI5" s="18"/>
      <c r="AJ5" s="18"/>
      <c r="AK5" s="18"/>
      <c r="AL5" s="18"/>
      <c r="AM5" s="18"/>
      <c r="AN5" s="19"/>
      <c r="AO5" s="18"/>
      <c r="AP5" s="18"/>
      <c r="AQ5" s="166"/>
      <c r="AR5" s="134"/>
    </row>
    <row r="6" spans="2:45" ht="14.15" x14ac:dyDescent="0.4">
      <c r="B6" s="2"/>
      <c r="D6" s="6" t="s">
        <v>21</v>
      </c>
      <c r="E6" s="6"/>
      <c r="F6" s="29">
        <v>0.1</v>
      </c>
      <c r="G6" s="6"/>
      <c r="I6" s="6" t="s">
        <v>22</v>
      </c>
      <c r="J6" s="8"/>
      <c r="K6" s="124">
        <v>6.5</v>
      </c>
      <c r="L6" s="1" t="s">
        <v>23</v>
      </c>
      <c r="N6" s="6" t="s">
        <v>24</v>
      </c>
      <c r="O6" s="6"/>
      <c r="P6" s="127">
        <v>1</v>
      </c>
      <c r="Q6" s="6" t="s">
        <v>14</v>
      </c>
      <c r="S6" s="6" t="s">
        <v>25</v>
      </c>
      <c r="T6" s="6"/>
      <c r="U6" s="126">
        <v>0.06</v>
      </c>
      <c r="AE6" s="201"/>
      <c r="AH6" s="10"/>
      <c r="AI6" s="18"/>
      <c r="AJ6" s="18"/>
      <c r="AK6" s="18"/>
      <c r="AL6" s="167"/>
      <c r="AM6" s="18"/>
      <c r="AN6" s="19"/>
      <c r="AO6" s="18"/>
      <c r="AP6" s="18"/>
      <c r="AQ6" s="166"/>
      <c r="AR6" s="135"/>
    </row>
    <row r="7" spans="2:45" ht="3.75" customHeight="1" x14ac:dyDescent="0.3">
      <c r="L7" s="9"/>
      <c r="AE7" s="206"/>
      <c r="AH7" s="10"/>
      <c r="AI7" s="18"/>
      <c r="AJ7" s="18"/>
      <c r="AK7" s="18"/>
      <c r="AL7" s="167"/>
      <c r="AM7" s="18"/>
      <c r="AN7" s="19"/>
      <c r="AO7" s="18"/>
      <c r="AP7" s="18"/>
      <c r="AQ7" s="166"/>
      <c r="AR7" s="135"/>
    </row>
    <row r="8" spans="2:45" ht="3" customHeight="1" x14ac:dyDescent="0.3">
      <c r="B8" s="218"/>
      <c r="D8" s="218"/>
      <c r="E8" s="218"/>
      <c r="F8" s="218"/>
      <c r="G8" s="218"/>
      <c r="H8" s="218"/>
      <c r="I8" s="218"/>
      <c r="J8" s="218"/>
      <c r="K8" s="218"/>
      <c r="L8" s="218"/>
      <c r="M8" s="218"/>
      <c r="N8" s="218"/>
      <c r="O8" s="218"/>
      <c r="P8" s="218"/>
      <c r="Q8" s="218"/>
      <c r="R8" s="218"/>
      <c r="S8" s="218"/>
      <c r="T8" s="218"/>
      <c r="U8" s="218"/>
      <c r="V8" s="218"/>
      <c r="W8" s="218"/>
      <c r="X8" s="218"/>
      <c r="Y8" s="218"/>
      <c r="Z8" s="218"/>
      <c r="AA8" s="218"/>
    </row>
    <row r="9" spans="2:45" ht="3" customHeight="1" x14ac:dyDescent="0.3">
      <c r="B9" s="162"/>
      <c r="D9" s="162"/>
      <c r="E9" s="162"/>
      <c r="F9" s="162"/>
      <c r="G9" s="162"/>
      <c r="H9" s="162"/>
      <c r="I9" s="162"/>
      <c r="J9" s="162"/>
      <c r="K9" s="162"/>
      <c r="L9" s="162"/>
      <c r="M9" s="162"/>
      <c r="N9" s="162"/>
      <c r="O9" s="162"/>
      <c r="P9" s="162"/>
      <c r="Q9" s="162"/>
      <c r="R9" s="162"/>
      <c r="S9" s="162"/>
      <c r="T9" s="162"/>
      <c r="U9" s="162"/>
      <c r="V9" s="162"/>
      <c r="W9" s="162"/>
      <c r="X9" s="162"/>
      <c r="Y9" s="162"/>
      <c r="Z9" s="162"/>
      <c r="AA9" s="162"/>
    </row>
    <row r="10" spans="2:45" ht="12.75" customHeight="1" thickBot="1" x14ac:dyDescent="0.35">
      <c r="B10" s="275" t="s">
        <v>26</v>
      </c>
      <c r="C10" s="11"/>
      <c r="D10" s="261" t="s">
        <v>27</v>
      </c>
      <c r="E10" s="261"/>
      <c r="F10" s="261"/>
      <c r="G10" s="261"/>
      <c r="I10" s="138" t="s">
        <v>28</v>
      </c>
      <c r="J10" s="139"/>
      <c r="K10" s="140"/>
      <c r="L10" s="140"/>
      <c r="N10" s="10"/>
      <c r="O10" s="262" t="s">
        <v>29</v>
      </c>
      <c r="P10" s="262"/>
      <c r="Q10" s="262"/>
      <c r="R10" s="262"/>
      <c r="S10" s="262"/>
      <c r="T10" s="262"/>
      <c r="U10" s="262" t="s">
        <v>30</v>
      </c>
      <c r="V10" s="262"/>
      <c r="W10" s="212" t="str">
        <f>CONCATENATE("Investment horizon ",F3," years")</f>
        <v>Investment horizon 10 years</v>
      </c>
      <c r="X10" s="5"/>
      <c r="Y10" s="101"/>
      <c r="Z10" s="10"/>
      <c r="AB10" s="10"/>
      <c r="AE10" s="207"/>
      <c r="AH10" s="10"/>
      <c r="AI10" s="18"/>
      <c r="AJ10" s="18"/>
      <c r="AK10" s="18"/>
      <c r="AL10" s="167"/>
      <c r="AM10" s="18"/>
      <c r="AN10" s="19"/>
      <c r="AO10" s="18"/>
      <c r="AP10" s="18"/>
      <c r="AQ10" s="166"/>
      <c r="AR10" s="135"/>
    </row>
    <row r="11" spans="2:45" ht="29.25" customHeight="1" x14ac:dyDescent="0.3">
      <c r="B11" s="275"/>
      <c r="D11" s="181" t="s">
        <v>31</v>
      </c>
      <c r="E11" s="267" t="s">
        <v>211</v>
      </c>
      <c r="F11" s="268"/>
      <c r="G11" s="269"/>
      <c r="I11" s="64" t="s">
        <v>33</v>
      </c>
      <c r="J11" s="64"/>
      <c r="K11" s="154">
        <f>K4*K3</f>
        <v>15000</v>
      </c>
      <c r="L11" s="3" t="s">
        <v>34</v>
      </c>
      <c r="N11" s="196" t="s">
        <v>35</v>
      </c>
      <c r="O11" s="113" t="s">
        <v>36</v>
      </c>
      <c r="P11" s="103" t="s">
        <v>37</v>
      </c>
      <c r="Q11" s="103" t="s">
        <v>38</v>
      </c>
      <c r="R11" s="103" t="s">
        <v>39</v>
      </c>
      <c r="S11" s="103" t="str">
        <f>IF(F16=D136,"Battery leasing","")</f>
        <v/>
      </c>
      <c r="T11" s="103" t="str">
        <f>IF($F$16=$D$136,"Electricity price",IF($F$16=$D$137,"Petrol price",IF($F$16=$D$138,"Diesel price","Gas price")))</f>
        <v>Petrol price</v>
      </c>
      <c r="U11" s="103" t="str">
        <f>IF($F$16=$D$136,"Electricity costs",IF($F$16=$D$137,"Petrol costs",IF($F$16=$D$138,"Diesel costs","Gas costs")))</f>
        <v>Petrol costs</v>
      </c>
      <c r="V11" s="113" t="s">
        <v>40</v>
      </c>
      <c r="W11" s="114" t="s">
        <v>41</v>
      </c>
      <c r="X11" s="183" t="s">
        <v>42</v>
      </c>
      <c r="Y11" s="197" t="s">
        <v>43</v>
      </c>
      <c r="Z11" s="198" t="str">
        <f>IF($F$16=$D$136,"Battery Capacity","")</f>
        <v/>
      </c>
      <c r="AA11" s="198" t="str">
        <f>IF($F$16=$D$136,"Battery Capacity","")</f>
        <v/>
      </c>
      <c r="AB11" s="115" t="s">
        <v>44</v>
      </c>
      <c r="AF11" s="36"/>
      <c r="AI11" s="10"/>
      <c r="AJ11" s="18"/>
      <c r="AK11" s="18"/>
      <c r="AL11" s="18"/>
      <c r="AM11" s="167"/>
      <c r="AN11" s="18"/>
      <c r="AO11" s="19"/>
      <c r="AP11" s="18"/>
      <c r="AQ11" s="18"/>
      <c r="AR11" s="166"/>
      <c r="AS11" s="135"/>
    </row>
    <row r="12" spans="2:45" ht="12.75" customHeight="1" thickBot="1" x14ac:dyDescent="0.35">
      <c r="B12" s="275"/>
      <c r="D12" s="3" t="s">
        <v>45</v>
      </c>
      <c r="E12" s="3"/>
      <c r="F12" s="263" t="str">
        <f>VLOOKUP(Car_1,details_of_models,3,0)</f>
        <v>Hyundai</v>
      </c>
      <c r="G12" s="263"/>
      <c r="I12" s="47" t="str">
        <f>IF(Fuel_type_car_1=Electrical,"Electricity costs",IF(Fuel_type_car_1=Petrol,"Petrol costs",IF(Fuel_type_car_1=Diesel,"Diesel costs","Gas costs")))</f>
        <v>Petrol costs</v>
      </c>
      <c r="J12" s="47"/>
      <c r="K12" s="63">
        <f>IF(Fuel_type_car_1=Electrical,Electrical_Energy_demand_car_1*Electricity_price/100,IF(Fuel_type_car_1=Petrol,Fossile_Fuel_demand_car_1*Petrol_price,IF(Fuel_type_car_1=Diesel,Fossile_Fuel_demand_car_1*Diesel_price,Fossile_Fuel_demand_car_1*Gas_price)))</f>
        <v>1442.55</v>
      </c>
      <c r="L12" s="47" t="s">
        <v>46</v>
      </c>
      <c r="N12" s="100" t="s">
        <v>35</v>
      </c>
      <c r="O12" s="12" t="s">
        <v>47</v>
      </c>
      <c r="P12" s="13"/>
      <c r="Q12" s="13" t="s">
        <v>47</v>
      </c>
      <c r="R12" s="13" t="s">
        <v>47</v>
      </c>
      <c r="S12" s="13" t="str">
        <f>IF(F16=D136,"Euro","")</f>
        <v/>
      </c>
      <c r="T12" s="13" t="str">
        <f>IF(F16=D136,"Cent/kWh","Euro/L")</f>
        <v>Euro/L</v>
      </c>
      <c r="U12" s="13" t="s">
        <v>47</v>
      </c>
      <c r="V12" s="12" t="s">
        <v>47</v>
      </c>
      <c r="W12" s="14" t="s">
        <v>47</v>
      </c>
      <c r="X12" s="14" t="s">
        <v>47</v>
      </c>
      <c r="Y12" s="15">
        <v>1</v>
      </c>
      <c r="Z12" s="16" t="str">
        <f>IF($F$16=$D$136,"km","")</f>
        <v/>
      </c>
      <c r="AA12" s="16" t="str">
        <f>IF($F$16=$D$136,"% of capacity","")</f>
        <v/>
      </c>
      <c r="AB12" s="105" t="s">
        <v>48</v>
      </c>
      <c r="AF12" s="53"/>
      <c r="AI12" s="10"/>
      <c r="AJ12" s="18"/>
      <c r="AK12" s="18"/>
      <c r="AL12" s="18"/>
      <c r="AM12" s="167"/>
      <c r="AN12" s="18"/>
      <c r="AO12" s="19"/>
      <c r="AP12" s="18"/>
      <c r="AQ12" s="18"/>
      <c r="AR12" s="166"/>
      <c r="AS12" s="135"/>
    </row>
    <row r="13" spans="2:45" ht="12.75" customHeight="1" x14ac:dyDescent="0.3">
      <c r="B13" s="275"/>
      <c r="D13" s="6" t="s">
        <v>49</v>
      </c>
      <c r="E13" s="6"/>
      <c r="F13" s="264" t="str">
        <f>VLOOKUP(Car_1,details_of_models,4,0)</f>
        <v>Car</v>
      </c>
      <c r="G13" s="264"/>
      <c r="I13" s="6" t="s">
        <v>50</v>
      </c>
      <c r="J13" s="6"/>
      <c r="K13" s="46">
        <f>IF(Fuel_type_car_1=Electrical,Electrical_Energy_demand_car_1,Fossile_Energy_demand_car_1)</f>
        <v>8673</v>
      </c>
      <c r="L13" s="6" t="s">
        <v>51</v>
      </c>
      <c r="N13" s="155">
        <v>0</v>
      </c>
      <c r="O13" s="107">
        <f>-F18</f>
        <v>-27490</v>
      </c>
      <c r="P13" s="50"/>
      <c r="Q13" s="50"/>
      <c r="R13" s="50"/>
      <c r="S13" s="50"/>
      <c r="T13" s="50"/>
      <c r="U13" s="50"/>
      <c r="V13" s="108">
        <f>O13</f>
        <v>-27490</v>
      </c>
      <c r="W13" s="109">
        <f>V13*Y13</f>
        <v>-27490</v>
      </c>
      <c r="X13" s="109">
        <f>ABS(W13)</f>
        <v>27490</v>
      </c>
      <c r="Y13" s="156">
        <f t="shared" ref="Y13:Y33" si="0">1/(1+$F$4)^N13</f>
        <v>1</v>
      </c>
      <c r="Z13" s="157" t="str">
        <f>IF($F$16=$D$136,1-U13*$K$35,"")</f>
        <v/>
      </c>
      <c r="AA13" s="159" t="str">
        <f>IF($F$16=$D$136,$K$36*Z13,"")</f>
        <v/>
      </c>
      <c r="AB13" s="106">
        <v>0</v>
      </c>
      <c r="AC13" s="36"/>
      <c r="AF13" s="208"/>
      <c r="AI13" s="10"/>
      <c r="AJ13" s="18"/>
      <c r="AK13" s="18"/>
      <c r="AL13" s="18"/>
      <c r="AM13" s="167"/>
      <c r="AN13" s="18"/>
      <c r="AO13" s="19"/>
      <c r="AP13" s="18"/>
      <c r="AQ13" s="18"/>
      <c r="AR13" s="166"/>
      <c r="AS13" s="135"/>
    </row>
    <row r="14" spans="2:45" ht="12.75" customHeight="1" x14ac:dyDescent="0.3">
      <c r="B14" s="275"/>
      <c r="D14" s="3"/>
      <c r="E14" s="3"/>
      <c r="F14" s="248"/>
      <c r="G14" s="248"/>
      <c r="I14" s="152" t="s">
        <v>37</v>
      </c>
      <c r="J14" s="152"/>
      <c r="K14" s="237">
        <f>F3*F19</f>
        <v>0</v>
      </c>
      <c r="L14" s="152" t="s">
        <v>47</v>
      </c>
      <c r="N14" s="102">
        <f>N13+1</f>
        <v>1</v>
      </c>
      <c r="O14" s="22"/>
      <c r="P14" s="23">
        <f>-$F$19</f>
        <v>0</v>
      </c>
      <c r="Q14" s="23">
        <v>0</v>
      </c>
      <c r="R14" s="23">
        <f>-(F20+F21+F22)</f>
        <v>-1035.7600000000002</v>
      </c>
      <c r="S14" s="23">
        <f t="shared" ref="S14:S33" si="1">IF($F$16=$D$136,-$F$34,0)</f>
        <v>0</v>
      </c>
      <c r="T14" s="24">
        <f>IF($F$16=$D$136,$P$3,IF($F$16=$D$137,$P$4,IF($F$16=$D$138,$P$5,$P$6)))</f>
        <v>1.63</v>
      </c>
      <c r="U14" s="23">
        <f t="shared" ref="U14:U33" si="2">IF($F$16=$D$136,-$K$39*T14/100,IF($F$16=$D$137,-$K$26*T14,IF($F$16=$D$138,-$K$26*T14,-$K$26*T14)))</f>
        <v>-1442.55</v>
      </c>
      <c r="V14" s="25">
        <f>O14+P14+Q14+R14+S14+U14</f>
        <v>-2478.3100000000004</v>
      </c>
      <c r="W14" s="26">
        <f>V14*Y14</f>
        <v>-2429.7156862745101</v>
      </c>
      <c r="X14" s="27">
        <f>X13+ABS(W14)</f>
        <v>29919.715686274511</v>
      </c>
      <c r="Y14" s="28">
        <f t="shared" si="0"/>
        <v>0.98039215686274506</v>
      </c>
      <c r="Z14" s="20" t="str">
        <f t="shared" ref="Z14:Z33" si="3">IF($F$16=$D$136,1-N14*$K$35,"")</f>
        <v/>
      </c>
      <c r="AA14" s="160" t="str">
        <f>IF($F$16=$D$136,$K$36*Z14,"")</f>
        <v/>
      </c>
      <c r="AB14" s="104">
        <f>IF(F16&lt;&gt;D136,$K$32/1000,$K$42/1000)</f>
        <v>2.0099999999999998</v>
      </c>
      <c r="AC14" s="36"/>
      <c r="AF14" s="208"/>
      <c r="AI14" s="10"/>
      <c r="AJ14" s="18"/>
      <c r="AK14" s="18"/>
      <c r="AL14" s="18"/>
      <c r="AM14" s="167"/>
      <c r="AN14" s="18"/>
      <c r="AO14" s="19"/>
      <c r="AP14" s="18"/>
      <c r="AQ14" s="18"/>
      <c r="AR14" s="166"/>
      <c r="AS14" s="135"/>
    </row>
    <row r="15" spans="2:45" ht="12.75" customHeight="1" x14ac:dyDescent="0.3">
      <c r="B15" s="275"/>
      <c r="D15" s="3"/>
      <c r="E15" s="3"/>
      <c r="F15" s="248"/>
      <c r="G15" s="248"/>
      <c r="I15" s="3"/>
      <c r="J15" s="3"/>
      <c r="K15" s="154"/>
      <c r="L15" s="3"/>
      <c r="N15" s="102">
        <f t="shared" ref="N15:N16" si="4">N14+1</f>
        <v>2</v>
      </c>
      <c r="O15" s="22"/>
      <c r="P15" s="23">
        <f t="shared" ref="P15:P33" si="5">-$F$19</f>
        <v>0</v>
      </c>
      <c r="Q15" s="23">
        <v>0</v>
      </c>
      <c r="R15" s="23">
        <f>(R14)*(1+$F$5)</f>
        <v>-1056.4752000000003</v>
      </c>
      <c r="S15" s="23">
        <f t="shared" si="1"/>
        <v>0</v>
      </c>
      <c r="T15" s="24">
        <f t="shared" ref="T15:T33" si="6">IF($F$16=$D$136,T14*(1+$U$3),IF($F$16=$D$137,T14*(1+$U$4),IF($F$16=$D$138,T14*(1+$U$5),T14*(1+$U$6))))</f>
        <v>1.7696910000000001</v>
      </c>
      <c r="U15" s="23">
        <f t="shared" si="2"/>
        <v>-1566.1765350000001</v>
      </c>
      <c r="V15" s="25">
        <f t="shared" ref="V15:V33" si="7">O15+P15+Q15+R15+S15+U15</f>
        <v>-2622.6517350000004</v>
      </c>
      <c r="W15" s="26">
        <f t="shared" ref="W15:W16" si="8">V15*Y15</f>
        <v>-2520.8109717416382</v>
      </c>
      <c r="X15" s="27">
        <f t="shared" ref="X15:X16" si="9">X14+ABS(W15)</f>
        <v>32440.526658016148</v>
      </c>
      <c r="Y15" s="28">
        <f t="shared" si="0"/>
        <v>0.96116878123798544</v>
      </c>
      <c r="Z15" s="20" t="str">
        <f t="shared" si="3"/>
        <v/>
      </c>
      <c r="AA15" s="160" t="str">
        <f t="shared" ref="AA15:AA33" si="10">IF($F$16=$D$136,$K$36*Y15,"")</f>
        <v/>
      </c>
      <c r="AB15" s="104">
        <f t="shared" ref="AB15:AB33" si="11">$AB$14*N15</f>
        <v>4.0199999999999996</v>
      </c>
      <c r="AC15" s="36"/>
      <c r="AF15" s="208"/>
      <c r="AI15" s="10"/>
      <c r="AJ15" s="18"/>
      <c r="AK15" s="18"/>
      <c r="AL15" s="18"/>
      <c r="AM15" s="167"/>
      <c r="AN15" s="18"/>
      <c r="AO15" s="19"/>
      <c r="AP15" s="18"/>
      <c r="AQ15" s="18"/>
      <c r="AR15" s="166"/>
      <c r="AS15" s="135"/>
    </row>
    <row r="16" spans="2:45" ht="12.75" customHeight="1" x14ac:dyDescent="0.3">
      <c r="B16" s="275"/>
      <c r="D16" s="3" t="s">
        <v>52</v>
      </c>
      <c r="E16" s="3"/>
      <c r="F16" s="264" t="str">
        <f>VLOOKUP(Car_1,details_of_models,5,0)</f>
        <v>Petrol</v>
      </c>
      <c r="G16" s="264"/>
      <c r="I16" s="151" t="s">
        <v>53</v>
      </c>
      <c r="J16" s="151"/>
      <c r="K16" s="237">
        <f>IF(F3=3,-SUM(W13:W16),IF(F3=5,-SUM(W13:W18),IF(F3=10,-SUM(W13:W23),IF(F3=15,-SUM(W13:W28),-SUM(W13:W33)))))</f>
        <v>56676.402095025333</v>
      </c>
      <c r="L16" s="152" t="s">
        <v>47</v>
      </c>
      <c r="N16" s="91">
        <f t="shared" si="4"/>
        <v>3</v>
      </c>
      <c r="O16" s="22"/>
      <c r="P16" s="23">
        <f t="shared" si="5"/>
        <v>0</v>
      </c>
      <c r="Q16" s="23">
        <v>0</v>
      </c>
      <c r="R16" s="23">
        <f t="shared" ref="R16" si="12">(R15)*(1+$F$5)</f>
        <v>-1077.6047040000003</v>
      </c>
      <c r="S16" s="23">
        <f t="shared" si="1"/>
        <v>0</v>
      </c>
      <c r="T16" s="24">
        <f t="shared" si="6"/>
        <v>1.9213535187000004</v>
      </c>
      <c r="U16" s="23">
        <f t="shared" si="2"/>
        <v>-1700.3978640495004</v>
      </c>
      <c r="V16" s="25">
        <f t="shared" si="7"/>
        <v>-2778.002568049501</v>
      </c>
      <c r="W16" s="26">
        <f t="shared" si="8"/>
        <v>-2617.7738653020911</v>
      </c>
      <c r="X16" s="27">
        <f t="shared" si="9"/>
        <v>35058.300523318241</v>
      </c>
      <c r="Y16" s="28">
        <f t="shared" si="0"/>
        <v>0.94232233454704462</v>
      </c>
      <c r="Z16" s="20" t="str">
        <f t="shared" si="3"/>
        <v/>
      </c>
      <c r="AA16" s="160" t="str">
        <f t="shared" si="10"/>
        <v/>
      </c>
      <c r="AB16" s="104">
        <f t="shared" si="11"/>
        <v>6.0299999999999994</v>
      </c>
      <c r="AC16" s="36"/>
      <c r="AF16" s="168"/>
      <c r="AI16" s="10"/>
      <c r="AJ16" s="18"/>
      <c r="AK16" s="18"/>
      <c r="AL16" s="18"/>
      <c r="AM16" s="167"/>
      <c r="AN16" s="18"/>
      <c r="AO16" s="19"/>
      <c r="AP16" s="18"/>
      <c r="AQ16" s="18"/>
      <c r="AR16" s="166"/>
      <c r="AS16" s="135"/>
    </row>
    <row r="17" spans="2:45" ht="12.75" customHeight="1" x14ac:dyDescent="0.3">
      <c r="B17" s="275"/>
      <c r="D17" s="6" t="s">
        <v>54</v>
      </c>
      <c r="E17" s="6"/>
      <c r="F17" s="122">
        <f>VLOOKUP(Car_1,details_of_models,14,0)</f>
        <v>103</v>
      </c>
      <c r="G17" s="6" t="s">
        <v>55</v>
      </c>
      <c r="I17" s="49" t="s">
        <v>56</v>
      </c>
      <c r="J17" s="49"/>
      <c r="K17" s="46">
        <f>K20*K16</f>
        <v>6309.5870571377181</v>
      </c>
      <c r="L17" s="6" t="s">
        <v>46</v>
      </c>
      <c r="N17" s="91">
        <f t="shared" ref="N17:N33" si="13">N16+1</f>
        <v>4</v>
      </c>
      <c r="O17" s="22"/>
      <c r="P17" s="23">
        <f t="shared" si="5"/>
        <v>0</v>
      </c>
      <c r="Q17" s="23">
        <v>0</v>
      </c>
      <c r="R17" s="23">
        <f t="shared" ref="R17:R33" si="14">(R16)*(1+$F$5)</f>
        <v>-1099.1567980800003</v>
      </c>
      <c r="S17" s="23">
        <f t="shared" si="1"/>
        <v>0</v>
      </c>
      <c r="T17" s="24">
        <f t="shared" si="6"/>
        <v>2.0860135152525907</v>
      </c>
      <c r="U17" s="23">
        <f t="shared" si="2"/>
        <v>-1846.1219609985428</v>
      </c>
      <c r="V17" s="25">
        <f t="shared" si="7"/>
        <v>-2945.2787590785429</v>
      </c>
      <c r="W17" s="26">
        <f t="shared" ref="W17:W33" si="15">V17*Y17</f>
        <v>-2720.9823099477594</v>
      </c>
      <c r="X17" s="27">
        <f t="shared" ref="X17:X33" si="16">X16+ABS(W17)</f>
        <v>37779.282833265999</v>
      </c>
      <c r="Y17" s="28">
        <f t="shared" si="0"/>
        <v>0.9238454260265142</v>
      </c>
      <c r="Z17" s="20" t="str">
        <f t="shared" si="3"/>
        <v/>
      </c>
      <c r="AA17" s="160" t="str">
        <f t="shared" si="10"/>
        <v/>
      </c>
      <c r="AB17" s="104">
        <f t="shared" si="11"/>
        <v>8.0399999999999991</v>
      </c>
      <c r="AF17" s="201"/>
      <c r="AI17" s="10"/>
      <c r="AJ17" s="18"/>
      <c r="AK17" s="18"/>
      <c r="AL17" s="18"/>
      <c r="AM17" s="167"/>
      <c r="AN17" s="18"/>
      <c r="AO17" s="19"/>
      <c r="AP17" s="18"/>
      <c r="AQ17" s="18"/>
      <c r="AR17" s="166"/>
      <c r="AS17" s="135"/>
    </row>
    <row r="18" spans="2:45" ht="12.75" customHeight="1" x14ac:dyDescent="0.3">
      <c r="B18" s="275"/>
      <c r="D18" s="6" t="s">
        <v>57</v>
      </c>
      <c r="E18" s="6"/>
      <c r="F18" s="119">
        <f>VLOOKUP(Car_1,details_of_models,6,0)</f>
        <v>27490</v>
      </c>
      <c r="G18" s="6" t="s">
        <v>47</v>
      </c>
      <c r="I18" s="55" t="s">
        <v>58</v>
      </c>
      <c r="J18" s="55"/>
      <c r="K18" s="238">
        <f>ABS(K17/K11)*100</f>
        <v>42.063913714251456</v>
      </c>
      <c r="L18" s="56" t="s">
        <v>59</v>
      </c>
      <c r="N18" s="91">
        <f t="shared" si="13"/>
        <v>5</v>
      </c>
      <c r="O18" s="22"/>
      <c r="P18" s="23">
        <f t="shared" si="5"/>
        <v>0</v>
      </c>
      <c r="Q18" s="23">
        <v>0</v>
      </c>
      <c r="R18" s="23">
        <f t="shared" si="14"/>
        <v>-1121.1399340416003</v>
      </c>
      <c r="S18" s="23">
        <f t="shared" si="1"/>
        <v>0</v>
      </c>
      <c r="T18" s="24">
        <f t="shared" si="6"/>
        <v>2.264784873509738</v>
      </c>
      <c r="U18" s="23">
        <f t="shared" si="2"/>
        <v>-2004.3346130561181</v>
      </c>
      <c r="V18" s="25">
        <f t="shared" si="7"/>
        <v>-3125.4745470977186</v>
      </c>
      <c r="W18" s="26">
        <f t="shared" si="15"/>
        <v>-2830.8385926456062</v>
      </c>
      <c r="X18" s="27">
        <f t="shared" si="16"/>
        <v>40610.121425911602</v>
      </c>
      <c r="Y18" s="28">
        <f t="shared" si="0"/>
        <v>0.90573080982991594</v>
      </c>
      <c r="Z18" s="20" t="str">
        <f t="shared" si="3"/>
        <v/>
      </c>
      <c r="AA18" s="160" t="str">
        <f t="shared" si="10"/>
        <v/>
      </c>
      <c r="AB18" s="104">
        <f t="shared" si="11"/>
        <v>10.049999999999999</v>
      </c>
      <c r="AF18" s="201"/>
      <c r="AI18" s="10"/>
      <c r="AJ18" s="18"/>
      <c r="AK18" s="18"/>
      <c r="AL18" s="18"/>
      <c r="AM18" s="167"/>
      <c r="AN18" s="18"/>
      <c r="AO18" s="19"/>
      <c r="AP18" s="18"/>
      <c r="AQ18" s="18"/>
      <c r="AR18" s="166"/>
      <c r="AS18" s="135"/>
    </row>
    <row r="19" spans="2:45" ht="12.75" customHeight="1" x14ac:dyDescent="0.3">
      <c r="B19" s="275"/>
      <c r="D19" s="6" t="s">
        <v>37</v>
      </c>
      <c r="E19" s="6"/>
      <c r="F19" s="119">
        <f>VLOOKUP(Car_1,details_of_models,7,0)*12</f>
        <v>0</v>
      </c>
      <c r="G19" s="6" t="s">
        <v>46</v>
      </c>
      <c r="I19" s="245"/>
      <c r="J19" s="245"/>
      <c r="K19" s="246"/>
      <c r="L19" s="247"/>
      <c r="N19" s="91">
        <f t="shared" si="13"/>
        <v>6</v>
      </c>
      <c r="O19" s="22"/>
      <c r="P19" s="23">
        <f t="shared" si="5"/>
        <v>0</v>
      </c>
      <c r="Q19" s="23">
        <v>0</v>
      </c>
      <c r="R19" s="23">
        <f t="shared" si="14"/>
        <v>-1143.5627327224324</v>
      </c>
      <c r="S19" s="23">
        <f t="shared" si="1"/>
        <v>0</v>
      </c>
      <c r="T19" s="24">
        <f t="shared" si="6"/>
        <v>2.4588769371695229</v>
      </c>
      <c r="U19" s="23">
        <f t="shared" si="2"/>
        <v>-2176.106089395028</v>
      </c>
      <c r="V19" s="25">
        <f t="shared" si="7"/>
        <v>-3319.6688221174604</v>
      </c>
      <c r="W19" s="26">
        <f t="shared" si="15"/>
        <v>-2947.7709123760492</v>
      </c>
      <c r="X19" s="27">
        <f t="shared" si="16"/>
        <v>43557.892338287653</v>
      </c>
      <c r="Y19" s="28">
        <f t="shared" si="0"/>
        <v>0.88797138218619198</v>
      </c>
      <c r="Z19" s="20" t="str">
        <f t="shared" si="3"/>
        <v/>
      </c>
      <c r="AA19" s="160" t="str">
        <f t="shared" si="10"/>
        <v/>
      </c>
      <c r="AB19" s="104">
        <f t="shared" si="11"/>
        <v>12.059999999999999</v>
      </c>
      <c r="AF19" s="201"/>
      <c r="AI19" s="10"/>
      <c r="AJ19" s="18"/>
      <c r="AK19" s="18"/>
      <c r="AL19" s="18"/>
      <c r="AM19" s="167"/>
      <c r="AN19" s="18"/>
      <c r="AO19" s="19"/>
      <c r="AP19" s="18"/>
      <c r="AQ19" s="18"/>
      <c r="AR19" s="166"/>
      <c r="AS19" s="135"/>
    </row>
    <row r="20" spans="2:45" ht="12.75" customHeight="1" x14ac:dyDescent="0.3">
      <c r="B20" s="275"/>
      <c r="D20" s="6" t="s">
        <v>60</v>
      </c>
      <c r="E20" s="6"/>
      <c r="F20" s="130">
        <f>VLOOKUP(Car_1,details_of_models,21,0)</f>
        <v>400</v>
      </c>
      <c r="G20" s="6" t="s">
        <v>46</v>
      </c>
      <c r="I20" s="49" t="s">
        <v>61</v>
      </c>
      <c r="J20" s="49"/>
      <c r="K20" s="265">
        <f>F4*(1+F4)^F3/((1+F4)^F3-1)</f>
        <v>0.11132652786531647</v>
      </c>
      <c r="L20" s="265"/>
      <c r="N20" s="91">
        <f t="shared" si="13"/>
        <v>7</v>
      </c>
      <c r="O20" s="22"/>
      <c r="P20" s="23">
        <f t="shared" si="5"/>
        <v>0</v>
      </c>
      <c r="Q20" s="23">
        <v>0</v>
      </c>
      <c r="R20" s="23">
        <f t="shared" si="14"/>
        <v>-1166.4339873768811</v>
      </c>
      <c r="S20" s="23">
        <f t="shared" si="1"/>
        <v>0</v>
      </c>
      <c r="T20" s="24">
        <f t="shared" si="6"/>
        <v>2.6696026906849513</v>
      </c>
      <c r="U20" s="23">
        <f t="shared" si="2"/>
        <v>-2362.5983812561817</v>
      </c>
      <c r="V20" s="25">
        <f t="shared" si="7"/>
        <v>-3529.032368633063</v>
      </c>
      <c r="W20" s="26">
        <f t="shared" si="15"/>
        <v>-3072.2350491714828</v>
      </c>
      <c r="X20" s="27">
        <f t="shared" si="16"/>
        <v>46630.127387459135</v>
      </c>
      <c r="Y20" s="28">
        <f t="shared" si="0"/>
        <v>0.87056017861391388</v>
      </c>
      <c r="Z20" s="20" t="str">
        <f t="shared" si="3"/>
        <v/>
      </c>
      <c r="AA20" s="160" t="str">
        <f t="shared" si="10"/>
        <v/>
      </c>
      <c r="AB20" s="104">
        <f t="shared" si="11"/>
        <v>14.069999999999999</v>
      </c>
      <c r="AF20" s="201"/>
      <c r="AI20" s="59"/>
      <c r="AJ20" s="169"/>
      <c r="AK20" s="169"/>
      <c r="AL20" s="169"/>
      <c r="AM20" s="170"/>
      <c r="AN20" s="169"/>
      <c r="AO20" s="171"/>
      <c r="AP20" s="169"/>
      <c r="AQ20" s="169"/>
      <c r="AR20" s="166"/>
      <c r="AS20" s="136"/>
    </row>
    <row r="21" spans="2:45" ht="12.75" customHeight="1" x14ac:dyDescent="0.4">
      <c r="B21" s="275"/>
      <c r="D21" s="1" t="s">
        <v>62</v>
      </c>
      <c r="F21" s="130">
        <f>VLOOKUP(Car_1,details_of_models,22,0)</f>
        <v>114.35999999999999</v>
      </c>
      <c r="G21" s="1" t="s">
        <v>46</v>
      </c>
      <c r="I21" s="47" t="s">
        <v>63</v>
      </c>
      <c r="J21" s="153"/>
      <c r="K21" s="200">
        <f>IF(F3=10,AB23,IF(F3=15,AB28,AB33))</f>
        <v>20.099999999999998</v>
      </c>
      <c r="L21" s="47" t="s">
        <v>64</v>
      </c>
      <c r="N21" s="91">
        <f t="shared" si="13"/>
        <v>8</v>
      </c>
      <c r="O21" s="22"/>
      <c r="P21" s="23">
        <f t="shared" si="5"/>
        <v>0</v>
      </c>
      <c r="Q21" s="23">
        <v>0</v>
      </c>
      <c r="R21" s="23">
        <f t="shared" si="14"/>
        <v>-1189.7626671244186</v>
      </c>
      <c r="S21" s="23">
        <f t="shared" si="1"/>
        <v>0</v>
      </c>
      <c r="T21" s="24">
        <f t="shared" si="6"/>
        <v>2.8983876412766518</v>
      </c>
      <c r="U21" s="23">
        <f t="shared" si="2"/>
        <v>-2565.073062529837</v>
      </c>
      <c r="V21" s="25">
        <f t="shared" si="7"/>
        <v>-3754.8357296542554</v>
      </c>
      <c r="W21" s="26">
        <f t="shared" si="15"/>
        <v>-3204.7161406605042</v>
      </c>
      <c r="X21" s="27">
        <f t="shared" si="16"/>
        <v>49834.843528119636</v>
      </c>
      <c r="Y21" s="28">
        <f t="shared" si="0"/>
        <v>0.85349037119011162</v>
      </c>
      <c r="Z21" s="20" t="str">
        <f t="shared" si="3"/>
        <v/>
      </c>
      <c r="AA21" s="160" t="str">
        <f t="shared" si="10"/>
        <v/>
      </c>
      <c r="AB21" s="104">
        <f t="shared" si="11"/>
        <v>16.079999999999998</v>
      </c>
      <c r="AF21" s="209"/>
      <c r="AI21" s="10"/>
      <c r="AJ21" s="18"/>
      <c r="AK21" s="18"/>
      <c r="AL21" s="18"/>
      <c r="AM21" s="167"/>
      <c r="AN21" s="18"/>
      <c r="AO21" s="19"/>
      <c r="AP21" s="18"/>
      <c r="AQ21" s="18"/>
      <c r="AR21" s="166"/>
      <c r="AS21" s="135"/>
    </row>
    <row r="22" spans="2:45" ht="12.75" customHeight="1" x14ac:dyDescent="0.3">
      <c r="B22" s="275"/>
      <c r="D22" s="6" t="s">
        <v>65</v>
      </c>
      <c r="E22" s="6"/>
      <c r="F22" s="119">
        <f>IF(F19=0,IF(F16&lt;&gt;D136,(F17-24)*0.55*12,0),0)</f>
        <v>521.40000000000009</v>
      </c>
      <c r="G22" s="6" t="s">
        <v>46</v>
      </c>
      <c r="N22" s="91">
        <f t="shared" si="13"/>
        <v>9</v>
      </c>
      <c r="O22" s="22"/>
      <c r="P22" s="23">
        <f t="shared" si="5"/>
        <v>0</v>
      </c>
      <c r="Q22" s="23">
        <v>0</v>
      </c>
      <c r="R22" s="23">
        <f t="shared" si="14"/>
        <v>-1213.557920466907</v>
      </c>
      <c r="S22" s="23">
        <f t="shared" si="1"/>
        <v>0</v>
      </c>
      <c r="T22" s="24">
        <f t="shared" si="6"/>
        <v>3.1467794621340612</v>
      </c>
      <c r="U22" s="23">
        <f t="shared" si="2"/>
        <v>-2784.8998239886441</v>
      </c>
      <c r="V22" s="25">
        <f t="shared" si="7"/>
        <v>-3998.4577444555512</v>
      </c>
      <c r="W22" s="26">
        <f t="shared" si="15"/>
        <v>-3345.7305730424951</v>
      </c>
      <c r="X22" s="27">
        <f t="shared" si="16"/>
        <v>53180.574101162128</v>
      </c>
      <c r="Y22" s="28">
        <f t="shared" si="0"/>
        <v>0.83675526587265847</v>
      </c>
      <c r="Z22" s="20" t="str">
        <f t="shared" si="3"/>
        <v/>
      </c>
      <c r="AA22" s="160" t="str">
        <f t="shared" si="10"/>
        <v/>
      </c>
      <c r="AB22" s="104">
        <f t="shared" si="11"/>
        <v>18.089999999999996</v>
      </c>
      <c r="AH22" s="11"/>
      <c r="AI22" s="10"/>
      <c r="AJ22" s="18"/>
      <c r="AK22" s="18"/>
      <c r="AL22" s="18"/>
      <c r="AM22" s="167"/>
      <c r="AN22" s="18"/>
      <c r="AO22" s="19"/>
      <c r="AP22" s="18"/>
      <c r="AQ22" s="18"/>
      <c r="AR22" s="166"/>
      <c r="AS22" s="135"/>
    </row>
    <row r="23" spans="2:45" ht="12.75" customHeight="1" x14ac:dyDescent="0.3">
      <c r="B23" s="275"/>
      <c r="I23" s="11" t="s">
        <v>66</v>
      </c>
      <c r="J23" s="1"/>
      <c r="N23" s="92">
        <f t="shared" si="13"/>
        <v>10</v>
      </c>
      <c r="O23" s="30"/>
      <c r="P23" s="31">
        <f t="shared" si="5"/>
        <v>0</v>
      </c>
      <c r="Q23" s="31">
        <v>0</v>
      </c>
      <c r="R23" s="31">
        <f t="shared" si="14"/>
        <v>-1237.8290788762451</v>
      </c>
      <c r="S23" s="31">
        <f t="shared" si="1"/>
        <v>0</v>
      </c>
      <c r="T23" s="32">
        <f t="shared" si="6"/>
        <v>3.4164584620389506</v>
      </c>
      <c r="U23" s="161">
        <f t="shared" si="2"/>
        <v>-3023.5657389044713</v>
      </c>
      <c r="V23" s="33">
        <f t="shared" si="7"/>
        <v>-4261.394817780716</v>
      </c>
      <c r="W23" s="34">
        <f t="shared" si="15"/>
        <v>-3495.8279938632077</v>
      </c>
      <c r="X23" s="35">
        <f t="shared" si="16"/>
        <v>56676.402095025333</v>
      </c>
      <c r="Y23" s="187">
        <f t="shared" si="0"/>
        <v>0.82034829987515534</v>
      </c>
      <c r="Z23" s="188" t="str">
        <f t="shared" si="3"/>
        <v/>
      </c>
      <c r="AA23" s="189" t="str">
        <f t="shared" si="10"/>
        <v/>
      </c>
      <c r="AB23" s="110">
        <f t="shared" si="11"/>
        <v>20.099999999999998</v>
      </c>
      <c r="AD23" s="162"/>
      <c r="AE23" s="11"/>
      <c r="AF23" s="37"/>
      <c r="AG23" s="37"/>
      <c r="AI23" s="10"/>
      <c r="AJ23" s="18"/>
      <c r="AK23" s="18"/>
      <c r="AL23" s="18"/>
      <c r="AM23" s="167"/>
      <c r="AN23" s="18"/>
      <c r="AO23" s="19"/>
      <c r="AP23" s="18"/>
      <c r="AQ23" s="18"/>
      <c r="AR23" s="166"/>
      <c r="AS23" s="135"/>
    </row>
    <row r="24" spans="2:45" ht="12.75" customHeight="1" x14ac:dyDescent="0.3">
      <c r="B24" s="275"/>
      <c r="D24" s="11" t="s">
        <v>66</v>
      </c>
      <c r="I24" s="6" t="s">
        <v>67</v>
      </c>
      <c r="J24" s="6"/>
      <c r="K24" s="38">
        <f>IF(F25=0,0,F27/F25*100)</f>
        <v>847.45762711864393</v>
      </c>
      <c r="L24" s="6" t="s">
        <v>6</v>
      </c>
      <c r="N24" s="91">
        <f t="shared" si="13"/>
        <v>11</v>
      </c>
      <c r="O24" s="22"/>
      <c r="P24" s="23">
        <f t="shared" si="5"/>
        <v>0</v>
      </c>
      <c r="Q24" s="23">
        <v>0</v>
      </c>
      <c r="R24" s="23">
        <f t="shared" si="14"/>
        <v>-1262.5856604537701</v>
      </c>
      <c r="S24" s="23">
        <f t="shared" si="1"/>
        <v>0</v>
      </c>
      <c r="T24" s="24">
        <f t="shared" si="6"/>
        <v>3.7092489522356891</v>
      </c>
      <c r="U24" s="23">
        <f t="shared" si="2"/>
        <v>-3282.6853227285847</v>
      </c>
      <c r="V24" s="25">
        <f t="shared" si="7"/>
        <v>-4545.2709831823549</v>
      </c>
      <c r="W24" s="26">
        <f t="shared" si="15"/>
        <v>-3655.5934544367856</v>
      </c>
      <c r="X24" s="27">
        <f t="shared" si="16"/>
        <v>60331.995549462117</v>
      </c>
      <c r="Y24" s="28">
        <f t="shared" si="0"/>
        <v>0.80426303909328967</v>
      </c>
      <c r="Z24" s="20" t="str">
        <f t="shared" si="3"/>
        <v/>
      </c>
      <c r="AA24" s="160" t="str">
        <f t="shared" si="10"/>
        <v/>
      </c>
      <c r="AB24" s="104">
        <f t="shared" si="11"/>
        <v>22.11</v>
      </c>
      <c r="AF24" s="62"/>
      <c r="AI24" s="10"/>
      <c r="AJ24" s="18"/>
      <c r="AK24" s="18"/>
      <c r="AL24" s="18"/>
      <c r="AM24" s="167"/>
      <c r="AN24" s="18"/>
      <c r="AO24" s="19"/>
      <c r="AP24" s="18"/>
      <c r="AQ24" s="18"/>
      <c r="AR24" s="166"/>
      <c r="AS24" s="135"/>
    </row>
    <row r="25" spans="2:45" ht="12.75" customHeight="1" x14ac:dyDescent="0.3">
      <c r="B25" s="275"/>
      <c r="D25" s="6" t="s">
        <v>68</v>
      </c>
      <c r="E25" s="6"/>
      <c r="F25" s="123">
        <f>VLOOKUP(Car_1,details_of_models,9,0)</f>
        <v>5.9</v>
      </c>
      <c r="G25" s="6" t="s">
        <v>69</v>
      </c>
      <c r="I25" s="6" t="s">
        <v>70</v>
      </c>
      <c r="J25" s="6"/>
      <c r="K25" s="45">
        <f>(F25*K3/100)</f>
        <v>4.4249999999999998</v>
      </c>
      <c r="L25" s="6" t="s">
        <v>71</v>
      </c>
      <c r="N25" s="91">
        <f t="shared" si="13"/>
        <v>12</v>
      </c>
      <c r="O25" s="22"/>
      <c r="P25" s="23">
        <f t="shared" si="5"/>
        <v>0</v>
      </c>
      <c r="Q25" s="23">
        <v>0</v>
      </c>
      <c r="R25" s="23">
        <f t="shared" si="14"/>
        <v>-1287.8373736628455</v>
      </c>
      <c r="S25" s="23">
        <f t="shared" si="1"/>
        <v>0</v>
      </c>
      <c r="T25" s="24">
        <f t="shared" si="6"/>
        <v>4.0271315874422884</v>
      </c>
      <c r="U25" s="23">
        <f t="shared" si="2"/>
        <v>-3564.0114548864253</v>
      </c>
      <c r="V25" s="25">
        <f t="shared" si="7"/>
        <v>-4851.8488285492713</v>
      </c>
      <c r="W25" s="26">
        <f t="shared" si="15"/>
        <v>-3825.6496902649546</v>
      </c>
      <c r="X25" s="27">
        <f t="shared" si="16"/>
        <v>64157.64523972707</v>
      </c>
      <c r="Y25" s="28">
        <f t="shared" si="0"/>
        <v>0.78849317558165644</v>
      </c>
      <c r="Z25" s="20" t="str">
        <f t="shared" si="3"/>
        <v/>
      </c>
      <c r="AA25" s="160" t="str">
        <f t="shared" si="10"/>
        <v/>
      </c>
      <c r="AB25" s="104">
        <f t="shared" si="11"/>
        <v>24.119999999999997</v>
      </c>
      <c r="AF25" s="173"/>
      <c r="AI25" s="59"/>
      <c r="AJ25" s="169"/>
      <c r="AK25" s="169"/>
      <c r="AL25" s="169"/>
      <c r="AM25" s="170"/>
      <c r="AN25" s="169"/>
      <c r="AO25" s="171"/>
      <c r="AP25" s="169"/>
      <c r="AQ25" s="169"/>
      <c r="AR25" s="166"/>
      <c r="AS25" s="136"/>
    </row>
    <row r="26" spans="2:45" ht="12.75" customHeight="1" x14ac:dyDescent="0.3">
      <c r="B26" s="275"/>
      <c r="D26" s="1" t="s">
        <v>72</v>
      </c>
      <c r="F26" s="123">
        <f>VLOOKUP(Car_1,details_of_models,10,0)</f>
        <v>9.8000000000000007</v>
      </c>
      <c r="G26" s="1" t="s">
        <v>73</v>
      </c>
      <c r="I26" s="6" t="s">
        <v>70</v>
      </c>
      <c r="J26" s="6"/>
      <c r="K26" s="46">
        <f>K11/100*F25</f>
        <v>885</v>
      </c>
      <c r="L26" s="6" t="s">
        <v>74</v>
      </c>
      <c r="N26" s="91">
        <f t="shared" si="13"/>
        <v>13</v>
      </c>
      <c r="O26" s="22"/>
      <c r="P26" s="23">
        <f t="shared" si="5"/>
        <v>0</v>
      </c>
      <c r="Q26" s="23">
        <v>0</v>
      </c>
      <c r="R26" s="23">
        <f t="shared" si="14"/>
        <v>-1313.5941211361023</v>
      </c>
      <c r="S26" s="23">
        <f t="shared" si="1"/>
        <v>0</v>
      </c>
      <c r="T26" s="24">
        <f t="shared" si="6"/>
        <v>4.3722567644860932</v>
      </c>
      <c r="U26" s="23">
        <f t="shared" si="2"/>
        <v>-3869.4472365701927</v>
      </c>
      <c r="V26" s="25">
        <f t="shared" si="7"/>
        <v>-5183.0413577062955</v>
      </c>
      <c r="W26" s="26">
        <f t="shared" si="15"/>
        <v>-4006.659548342056</v>
      </c>
      <c r="X26" s="27">
        <f t="shared" si="16"/>
        <v>68164.30478806913</v>
      </c>
      <c r="Y26" s="28">
        <f t="shared" si="0"/>
        <v>0.77303252508005538</v>
      </c>
      <c r="Z26" s="20" t="str">
        <f t="shared" si="3"/>
        <v/>
      </c>
      <c r="AA26" s="160" t="str">
        <f t="shared" si="10"/>
        <v/>
      </c>
      <c r="AB26" s="104">
        <f t="shared" si="11"/>
        <v>26.129999999999995</v>
      </c>
      <c r="AF26" s="62"/>
      <c r="AI26" s="10"/>
      <c r="AJ26" s="172"/>
      <c r="AK26" s="18"/>
      <c r="AL26" s="18"/>
      <c r="AM26" s="167"/>
      <c r="AN26" s="18"/>
      <c r="AO26" s="19"/>
      <c r="AP26" s="18"/>
      <c r="AQ26" s="18"/>
      <c r="AR26" s="166"/>
      <c r="AS26" s="135"/>
    </row>
    <row r="27" spans="2:45" ht="12.75" customHeight="1" x14ac:dyDescent="0.3">
      <c r="B27" s="275"/>
      <c r="D27" s="6" t="s">
        <v>75</v>
      </c>
      <c r="E27" s="6"/>
      <c r="F27" s="119">
        <f>VLOOKUP(Car_1,details_of_models,19,0)</f>
        <v>50</v>
      </c>
      <c r="G27" s="6" t="s">
        <v>76</v>
      </c>
      <c r="I27" s="1" t="s">
        <v>50</v>
      </c>
      <c r="J27" s="1"/>
      <c r="K27" s="53">
        <f>K25*F26</f>
        <v>43.365000000000002</v>
      </c>
      <c r="L27" s="1" t="s">
        <v>77</v>
      </c>
      <c r="N27" s="91">
        <f t="shared" si="13"/>
        <v>14</v>
      </c>
      <c r="O27" s="22"/>
      <c r="P27" s="23">
        <f t="shared" si="5"/>
        <v>0</v>
      </c>
      <c r="Q27" s="23">
        <v>0</v>
      </c>
      <c r="R27" s="23">
        <f t="shared" si="14"/>
        <v>-1339.8660035588243</v>
      </c>
      <c r="S27" s="23">
        <f t="shared" si="1"/>
        <v>0</v>
      </c>
      <c r="T27" s="24">
        <f t="shared" si="6"/>
        <v>4.7469591692025519</v>
      </c>
      <c r="U27" s="23">
        <f t="shared" si="2"/>
        <v>-4201.0588647442582</v>
      </c>
      <c r="V27" s="25">
        <f t="shared" si="7"/>
        <v>-5540.9248683030828</v>
      </c>
      <c r="W27" s="26">
        <f t="shared" si="15"/>
        <v>-4199.3285708070634</v>
      </c>
      <c r="X27" s="27">
        <f t="shared" si="16"/>
        <v>72363.633358876192</v>
      </c>
      <c r="Y27" s="28">
        <f t="shared" si="0"/>
        <v>0.75787502458828948</v>
      </c>
      <c r="Z27" s="20" t="str">
        <f t="shared" si="3"/>
        <v/>
      </c>
      <c r="AA27" s="160" t="str">
        <f t="shared" si="10"/>
        <v/>
      </c>
      <c r="AB27" s="104">
        <f t="shared" si="11"/>
        <v>28.139999999999997</v>
      </c>
      <c r="AF27" s="53"/>
      <c r="AI27" s="10"/>
      <c r="AJ27" s="172"/>
      <c r="AK27" s="18"/>
      <c r="AL27" s="18"/>
      <c r="AM27" s="167"/>
      <c r="AN27" s="18"/>
      <c r="AO27" s="19"/>
      <c r="AP27" s="18"/>
      <c r="AQ27" s="18"/>
      <c r="AR27" s="166"/>
      <c r="AS27" s="135"/>
    </row>
    <row r="28" spans="2:45" ht="12.75" customHeight="1" x14ac:dyDescent="0.4">
      <c r="B28" s="275"/>
      <c r="D28" s="6" t="s">
        <v>78</v>
      </c>
      <c r="E28" s="6"/>
      <c r="F28" s="119">
        <f>VLOOKUP(Car_1,details_of_models,11,0)</f>
        <v>134</v>
      </c>
      <c r="G28" s="6" t="s">
        <v>79</v>
      </c>
      <c r="H28" s="11"/>
      <c r="I28" s="6" t="s">
        <v>50</v>
      </c>
      <c r="J28" s="6"/>
      <c r="K28" s="46">
        <f>K27*K4</f>
        <v>8673</v>
      </c>
      <c r="L28" s="6" t="s">
        <v>51</v>
      </c>
      <c r="N28" s="92">
        <f t="shared" si="13"/>
        <v>15</v>
      </c>
      <c r="O28" s="30"/>
      <c r="P28" s="31">
        <f t="shared" si="5"/>
        <v>0</v>
      </c>
      <c r="Q28" s="31">
        <v>0</v>
      </c>
      <c r="R28" s="31">
        <f t="shared" si="14"/>
        <v>-1366.6633236300008</v>
      </c>
      <c r="S28" s="31">
        <f t="shared" si="1"/>
        <v>0</v>
      </c>
      <c r="T28" s="32">
        <f t="shared" si="6"/>
        <v>5.153773570003211</v>
      </c>
      <c r="U28" s="161">
        <f t="shared" si="2"/>
        <v>-4561.0896094528416</v>
      </c>
      <c r="V28" s="33">
        <f t="shared" si="7"/>
        <v>-5927.752933082842</v>
      </c>
      <c r="W28" s="34">
        <f t="shared" si="15"/>
        <v>-4404.4077450132008</v>
      </c>
      <c r="X28" s="35">
        <f t="shared" si="16"/>
        <v>76768.041103889394</v>
      </c>
      <c r="Y28" s="187">
        <f t="shared" si="0"/>
        <v>0.74301472998851925</v>
      </c>
      <c r="Z28" s="188" t="str">
        <f t="shared" si="3"/>
        <v/>
      </c>
      <c r="AA28" s="189" t="str">
        <f t="shared" si="10"/>
        <v/>
      </c>
      <c r="AB28" s="110">
        <f t="shared" si="11"/>
        <v>30.15</v>
      </c>
      <c r="AF28" s="53"/>
      <c r="AI28" s="10"/>
      <c r="AJ28" s="172"/>
      <c r="AK28" s="18"/>
      <c r="AL28" s="18"/>
      <c r="AM28" s="167"/>
      <c r="AN28" s="18"/>
      <c r="AO28" s="19"/>
      <c r="AP28" s="18"/>
      <c r="AQ28" s="18"/>
      <c r="AR28" s="166"/>
      <c r="AS28" s="135"/>
    </row>
    <row r="29" spans="2:45" ht="12.75" customHeight="1" x14ac:dyDescent="0.3">
      <c r="B29" s="275"/>
      <c r="I29" s="6" t="s">
        <v>50</v>
      </c>
      <c r="J29" s="6"/>
      <c r="K29" s="45">
        <f>K28/K11*100</f>
        <v>57.820000000000007</v>
      </c>
      <c r="L29" s="6" t="s">
        <v>80</v>
      </c>
      <c r="N29" s="93">
        <f t="shared" si="13"/>
        <v>16</v>
      </c>
      <c r="O29" s="39"/>
      <c r="P29" s="249">
        <f t="shared" si="5"/>
        <v>0</v>
      </c>
      <c r="Q29" s="40">
        <v>0</v>
      </c>
      <c r="R29" s="40">
        <f t="shared" si="14"/>
        <v>-1393.996590102601</v>
      </c>
      <c r="S29" s="40">
        <f t="shared" si="1"/>
        <v>0</v>
      </c>
      <c r="T29" s="41">
        <f t="shared" si="6"/>
        <v>5.5954519649524865</v>
      </c>
      <c r="U29" s="40">
        <f t="shared" si="2"/>
        <v>-4951.9749889829509</v>
      </c>
      <c r="V29" s="42">
        <f t="shared" si="7"/>
        <v>-6345.9715790855516</v>
      </c>
      <c r="W29" s="43">
        <f t="shared" si="15"/>
        <v>-4622.6964307343796</v>
      </c>
      <c r="X29" s="44">
        <f t="shared" si="16"/>
        <v>81390.737534623768</v>
      </c>
      <c r="Y29" s="190">
        <f t="shared" si="0"/>
        <v>0.72844581371423445</v>
      </c>
      <c r="Z29" s="191" t="str">
        <f t="shared" si="3"/>
        <v/>
      </c>
      <c r="AA29" s="192" t="str">
        <f t="shared" si="10"/>
        <v/>
      </c>
      <c r="AB29" s="111">
        <f t="shared" si="11"/>
        <v>32.159999999999997</v>
      </c>
      <c r="AF29" s="175"/>
      <c r="AI29" s="10"/>
      <c r="AJ29" s="172"/>
      <c r="AK29" s="18"/>
      <c r="AL29" s="18"/>
      <c r="AM29" s="167"/>
      <c r="AN29" s="18"/>
      <c r="AO29" s="19"/>
      <c r="AP29" s="18"/>
      <c r="AQ29" s="18"/>
      <c r="AR29" s="166"/>
      <c r="AS29" s="135"/>
    </row>
    <row r="30" spans="2:45" ht="12.75" customHeight="1" x14ac:dyDescent="0.3">
      <c r="B30" s="275"/>
      <c r="D30" s="11" t="s">
        <v>81</v>
      </c>
      <c r="I30" s="1" t="s">
        <v>82</v>
      </c>
      <c r="J30" s="1"/>
      <c r="K30" s="62">
        <f>IF(F27=0,0,K25/F27)</f>
        <v>8.8499999999999995E-2</v>
      </c>
      <c r="L30" s="1" t="s">
        <v>83</v>
      </c>
      <c r="N30" s="93">
        <f t="shared" si="13"/>
        <v>17</v>
      </c>
      <c r="O30" s="39"/>
      <c r="P30" s="249">
        <f t="shared" si="5"/>
        <v>0</v>
      </c>
      <c r="Q30" s="40">
        <v>0</v>
      </c>
      <c r="R30" s="40">
        <f t="shared" si="14"/>
        <v>-1421.8765219046529</v>
      </c>
      <c r="S30" s="40">
        <f t="shared" si="1"/>
        <v>0</v>
      </c>
      <c r="T30" s="41">
        <f t="shared" si="6"/>
        <v>6.0749821983489154</v>
      </c>
      <c r="U30" s="40">
        <f t="shared" si="2"/>
        <v>-5376.3592455387898</v>
      </c>
      <c r="V30" s="42">
        <f t="shared" si="7"/>
        <v>-6798.2357674434425</v>
      </c>
      <c r="W30" s="43">
        <f t="shared" si="15"/>
        <v>-4855.0454759181875</v>
      </c>
      <c r="X30" s="44">
        <f t="shared" si="16"/>
        <v>86245.783010541956</v>
      </c>
      <c r="Y30" s="190">
        <f t="shared" si="0"/>
        <v>0.7141625624649357</v>
      </c>
      <c r="Z30" s="191" t="str">
        <f t="shared" si="3"/>
        <v/>
      </c>
      <c r="AA30" s="192" t="str">
        <f t="shared" si="10"/>
        <v/>
      </c>
      <c r="AB30" s="111">
        <f t="shared" si="11"/>
        <v>34.169999999999995</v>
      </c>
      <c r="AF30" s="175"/>
      <c r="AI30" s="59"/>
      <c r="AJ30" s="174"/>
      <c r="AK30" s="169"/>
      <c r="AL30" s="169"/>
      <c r="AM30" s="170"/>
      <c r="AN30" s="169"/>
      <c r="AO30" s="171"/>
      <c r="AP30" s="169"/>
      <c r="AQ30" s="169"/>
      <c r="AR30" s="166"/>
      <c r="AS30" s="136"/>
    </row>
    <row r="31" spans="2:45" ht="12.75" customHeight="1" x14ac:dyDescent="0.3">
      <c r="B31" s="275"/>
      <c r="D31" s="6" t="s">
        <v>84</v>
      </c>
      <c r="E31" s="6"/>
      <c r="F31" s="120">
        <f>VLOOKUP(Car_1,details_of_models,8,0)</f>
        <v>0</v>
      </c>
      <c r="G31" s="6" t="s">
        <v>80</v>
      </c>
      <c r="I31" s="6" t="s">
        <v>85</v>
      </c>
      <c r="J31" s="6"/>
      <c r="K31" s="205">
        <f>IF($F$16=$D$136,0,IF($F$16=$D$137,P4*F27,IF($F$16=$D$138,P5*F27,P6*F27)))</f>
        <v>81.5</v>
      </c>
      <c r="L31" s="6" t="s">
        <v>86</v>
      </c>
      <c r="N31" s="93">
        <f t="shared" si="13"/>
        <v>18</v>
      </c>
      <c r="O31" s="39"/>
      <c r="P31" s="249">
        <f t="shared" si="5"/>
        <v>0</v>
      </c>
      <c r="Q31" s="40">
        <v>0</v>
      </c>
      <c r="R31" s="40">
        <f t="shared" si="14"/>
        <v>-1450.314052342746</v>
      </c>
      <c r="S31" s="40">
        <f t="shared" si="1"/>
        <v>0</v>
      </c>
      <c r="T31" s="41">
        <f t="shared" si="6"/>
        <v>6.5956081727474185</v>
      </c>
      <c r="U31" s="40">
        <f t="shared" si="2"/>
        <v>-5837.1132328814656</v>
      </c>
      <c r="V31" s="42">
        <f t="shared" si="7"/>
        <v>-7287.427285224212</v>
      </c>
      <c r="W31" s="43">
        <f t="shared" si="15"/>
        <v>-5102.3605331300132</v>
      </c>
      <c r="X31" s="44">
        <f t="shared" si="16"/>
        <v>91348.143543671962</v>
      </c>
      <c r="Y31" s="190">
        <f t="shared" si="0"/>
        <v>0.7001593749656233</v>
      </c>
      <c r="Z31" s="191" t="str">
        <f t="shared" si="3"/>
        <v/>
      </c>
      <c r="AA31" s="192" t="str">
        <f t="shared" si="10"/>
        <v/>
      </c>
      <c r="AB31" s="111">
        <f t="shared" si="11"/>
        <v>36.179999999999993</v>
      </c>
      <c r="AD31" s="11"/>
      <c r="AE31" s="11"/>
      <c r="AF31" s="176"/>
      <c r="AG31" s="11"/>
      <c r="AI31" s="10"/>
      <c r="AJ31" s="18"/>
      <c r="AK31" s="21"/>
      <c r="AL31" s="21"/>
      <c r="AM31" s="21"/>
      <c r="AN31" s="21"/>
      <c r="AO31" s="21"/>
      <c r="AP31" s="21"/>
      <c r="AQ31" s="21"/>
      <c r="AR31" s="36"/>
      <c r="AS31" s="61"/>
    </row>
    <row r="32" spans="2:45" ht="12.75" customHeight="1" x14ac:dyDescent="0.3">
      <c r="B32" s="275"/>
      <c r="D32" s="9" t="s">
        <v>87</v>
      </c>
      <c r="E32" s="9"/>
      <c r="F32" s="132">
        <f>VLOOKUP(Car_1,details_of_models,16,0)</f>
        <v>0</v>
      </c>
      <c r="G32" s="9" t="s">
        <v>88</v>
      </c>
      <c r="I32" s="202" t="s">
        <v>78</v>
      </c>
      <c r="J32" s="202"/>
      <c r="K32" s="203">
        <f>K11*F28/1000</f>
        <v>2010</v>
      </c>
      <c r="L32" s="202" t="s">
        <v>89</v>
      </c>
      <c r="N32" s="93">
        <f t="shared" si="13"/>
        <v>19</v>
      </c>
      <c r="O32" s="39"/>
      <c r="P32" s="249">
        <f t="shared" si="5"/>
        <v>0</v>
      </c>
      <c r="Q32" s="40">
        <v>0</v>
      </c>
      <c r="R32" s="40">
        <f t="shared" si="14"/>
        <v>-1479.3203333896008</v>
      </c>
      <c r="S32" s="40">
        <f t="shared" si="1"/>
        <v>0</v>
      </c>
      <c r="T32" s="41">
        <f t="shared" si="6"/>
        <v>7.1608517931518731</v>
      </c>
      <c r="U32" s="40">
        <f t="shared" si="2"/>
        <v>-6337.3538369394073</v>
      </c>
      <c r="V32" s="42">
        <f t="shared" si="7"/>
        <v>-7816.6741703290081</v>
      </c>
      <c r="W32" s="43">
        <f t="shared" si="15"/>
        <v>-5365.6055896151865</v>
      </c>
      <c r="X32" s="44">
        <f t="shared" si="16"/>
        <v>96713.749133287143</v>
      </c>
      <c r="Y32" s="190">
        <f t="shared" si="0"/>
        <v>0.68643075977021895</v>
      </c>
      <c r="Z32" s="191" t="str">
        <f t="shared" si="3"/>
        <v/>
      </c>
      <c r="AA32" s="192" t="str">
        <f t="shared" si="10"/>
        <v/>
      </c>
      <c r="AB32" s="111">
        <f t="shared" si="11"/>
        <v>38.19</v>
      </c>
      <c r="AD32" s="51"/>
      <c r="AE32" s="51"/>
      <c r="AF32" s="177"/>
      <c r="AJ32" s="18"/>
      <c r="AK32" s="21"/>
      <c r="AL32" s="21"/>
      <c r="AM32" s="21"/>
      <c r="AN32" s="21"/>
      <c r="AO32" s="21"/>
      <c r="AP32" s="21"/>
      <c r="AQ32" s="21"/>
      <c r="AR32" s="36"/>
      <c r="AS32" s="61"/>
    </row>
    <row r="33" spans="2:45" ht="12.75" customHeight="1" thickBot="1" x14ac:dyDescent="0.45">
      <c r="B33" s="275"/>
      <c r="D33" s="6" t="s">
        <v>90</v>
      </c>
      <c r="E33" s="6"/>
      <c r="F33" s="121">
        <f>VLOOKUP(Car_1,details_of_models,17,0)</f>
        <v>0</v>
      </c>
      <c r="G33" s="6" t="s">
        <v>91</v>
      </c>
      <c r="N33" s="94">
        <f t="shared" si="13"/>
        <v>20</v>
      </c>
      <c r="O33" s="48"/>
      <c r="P33" s="250">
        <f t="shared" si="5"/>
        <v>0</v>
      </c>
      <c r="Q33" s="95">
        <v>0</v>
      </c>
      <c r="R33" s="95">
        <f t="shared" si="14"/>
        <v>-1508.9067400573929</v>
      </c>
      <c r="S33" s="95">
        <f t="shared" si="1"/>
        <v>0</v>
      </c>
      <c r="T33" s="96">
        <f t="shared" si="6"/>
        <v>7.774536791824989</v>
      </c>
      <c r="U33" s="158">
        <f t="shared" si="2"/>
        <v>-6880.4650607651156</v>
      </c>
      <c r="V33" s="97">
        <f t="shared" si="7"/>
        <v>-8389.3718008225078</v>
      </c>
      <c r="W33" s="98">
        <f t="shared" si="15"/>
        <v>-5645.8067247386707</v>
      </c>
      <c r="X33" s="99">
        <f t="shared" si="16"/>
        <v>102359.55585802581</v>
      </c>
      <c r="Y33" s="193">
        <f t="shared" si="0"/>
        <v>0.67297133310805779</v>
      </c>
      <c r="Z33" s="194" t="str">
        <f t="shared" si="3"/>
        <v/>
      </c>
      <c r="AA33" s="195" t="str">
        <f t="shared" si="10"/>
        <v/>
      </c>
      <c r="AB33" s="112">
        <f t="shared" si="11"/>
        <v>40.199999999999996</v>
      </c>
      <c r="AD33" s="178"/>
      <c r="AE33" s="178"/>
      <c r="AF33" s="179"/>
      <c r="AG33" s="11"/>
      <c r="AH33" s="65"/>
      <c r="AI33" s="271"/>
      <c r="AJ33" s="271"/>
      <c r="AK33" s="271"/>
      <c r="AL33" s="271"/>
      <c r="AM33" s="271"/>
      <c r="AN33" s="271"/>
      <c r="AO33" s="66"/>
      <c r="AP33" s="65"/>
    </row>
    <row r="34" spans="2:45" ht="12.75" customHeight="1" x14ac:dyDescent="0.4">
      <c r="B34" s="275"/>
      <c r="D34" s="3" t="s">
        <v>92</v>
      </c>
      <c r="E34" s="3"/>
      <c r="F34" s="130">
        <f>VLOOKUP(Car_1,details_of_models,20,0)*12</f>
        <v>0</v>
      </c>
      <c r="G34" s="3" t="s">
        <v>46</v>
      </c>
      <c r="I34" s="11" t="s">
        <v>81</v>
      </c>
      <c r="J34" s="18"/>
      <c r="K34" s="21"/>
      <c r="L34" s="21"/>
      <c r="AD34" s="51"/>
      <c r="AE34" s="51"/>
      <c r="AF34" s="36"/>
      <c r="AH34" s="65"/>
      <c r="AI34" s="272"/>
      <c r="AJ34" s="272"/>
      <c r="AK34" s="272"/>
      <c r="AL34" s="272"/>
      <c r="AM34" s="272"/>
      <c r="AN34" s="272"/>
      <c r="AO34" s="66"/>
      <c r="AP34" s="65"/>
    </row>
    <row r="35" spans="2:45" ht="12.75" customHeight="1" x14ac:dyDescent="0.4">
      <c r="B35" s="275"/>
      <c r="D35" s="6" t="s">
        <v>93</v>
      </c>
      <c r="E35" s="6"/>
      <c r="F35" s="130">
        <f>VLOOKUP(Car_1,details_of_models,15,0)</f>
        <v>0</v>
      </c>
      <c r="G35" s="6" t="s">
        <v>47</v>
      </c>
      <c r="I35" s="6" t="s">
        <v>94</v>
      </c>
      <c r="J35" s="6"/>
      <c r="K35" s="7">
        <f>K4*F33/100</f>
        <v>0</v>
      </c>
      <c r="L35" s="137" t="s">
        <v>95</v>
      </c>
      <c r="AD35" s="178"/>
      <c r="AE35" s="178"/>
      <c r="AF35" s="179"/>
      <c r="AG35" s="11"/>
      <c r="AH35" s="65"/>
      <c r="AI35" s="67"/>
      <c r="AJ35" s="68"/>
      <c r="AK35" s="68"/>
      <c r="AL35" s="68"/>
      <c r="AM35" s="68"/>
      <c r="AN35" s="68"/>
      <c r="AO35" s="66"/>
      <c r="AP35" s="65"/>
    </row>
    <row r="36" spans="2:45" ht="12.75" customHeight="1" x14ac:dyDescent="0.4">
      <c r="B36" s="275"/>
      <c r="I36" s="6" t="s">
        <v>96</v>
      </c>
      <c r="J36" s="6"/>
      <c r="K36" s="38">
        <f>IF(F31=0,0,F32/F31*100)</f>
        <v>0</v>
      </c>
      <c r="L36" s="6" t="s">
        <v>6</v>
      </c>
      <c r="AC36" s="51"/>
      <c r="AD36" s="51"/>
      <c r="AE36" s="36"/>
      <c r="AG36" s="65"/>
      <c r="AH36" s="69"/>
      <c r="AI36" s="70"/>
      <c r="AJ36" s="71"/>
      <c r="AK36" s="71"/>
      <c r="AL36" s="71"/>
      <c r="AM36" s="71"/>
      <c r="AN36" s="66"/>
      <c r="AO36" s="65"/>
    </row>
    <row r="37" spans="2:45" ht="12.75" customHeight="1" x14ac:dyDescent="0.4">
      <c r="B37" s="275"/>
      <c r="I37" s="6" t="s">
        <v>97</v>
      </c>
      <c r="J37" s="6"/>
      <c r="K37" s="45">
        <f>IF(F32=0,0,(K3/100*F31)/F32)</f>
        <v>0</v>
      </c>
      <c r="L37" s="6" t="s">
        <v>98</v>
      </c>
      <c r="N37" s="10"/>
      <c r="O37" s="18"/>
      <c r="P37" s="21"/>
      <c r="Q37" s="21"/>
      <c r="R37" s="21"/>
      <c r="S37" s="21"/>
      <c r="T37" s="21"/>
      <c r="U37" s="21"/>
      <c r="V37" s="21"/>
      <c r="W37" s="36"/>
      <c r="X37" s="61"/>
      <c r="Y37" s="58"/>
      <c r="AE37" s="36"/>
      <c r="AG37" s="65"/>
      <c r="AH37" s="69"/>
      <c r="AI37" s="70"/>
      <c r="AJ37" s="71"/>
      <c r="AK37" s="71"/>
      <c r="AL37" s="71"/>
      <c r="AM37" s="71"/>
      <c r="AN37" s="66"/>
      <c r="AO37" s="65"/>
    </row>
    <row r="38" spans="2:45" ht="12.75" customHeight="1" x14ac:dyDescent="0.4">
      <c r="B38" s="275"/>
      <c r="I38" s="6" t="s">
        <v>99</v>
      </c>
      <c r="J38" s="6"/>
      <c r="K38" s="45">
        <f>(K3/100*F31)/(1-F6)</f>
        <v>0</v>
      </c>
      <c r="L38" s="6" t="s">
        <v>77</v>
      </c>
      <c r="U38" s="185"/>
      <c r="V38" s="51"/>
      <c r="X38" s="186"/>
      <c r="Y38" s="52"/>
      <c r="Z38" s="21"/>
      <c r="AE38" s="36"/>
      <c r="AG38" s="65"/>
      <c r="AH38" s="69"/>
      <c r="AI38" s="70"/>
      <c r="AJ38" s="71"/>
      <c r="AK38" s="71"/>
      <c r="AL38" s="71"/>
      <c r="AM38" s="71"/>
      <c r="AN38" s="66"/>
      <c r="AO38" s="65"/>
    </row>
    <row r="39" spans="2:45" ht="12.75" customHeight="1" x14ac:dyDescent="0.3">
      <c r="B39" s="275"/>
      <c r="I39" s="6" t="s">
        <v>50</v>
      </c>
      <c r="J39" s="6"/>
      <c r="K39" s="46">
        <f>K38*K4</f>
        <v>0</v>
      </c>
      <c r="L39" s="6" t="s">
        <v>51</v>
      </c>
    </row>
    <row r="40" spans="2:45" ht="12.75" customHeight="1" x14ac:dyDescent="0.3">
      <c r="B40" s="275"/>
      <c r="I40" s="6" t="s">
        <v>100</v>
      </c>
      <c r="J40" s="6"/>
      <c r="K40" s="125">
        <f>F32/(1-F6)*P3/100</f>
        <v>0</v>
      </c>
      <c r="L40" s="6" t="s">
        <v>101</v>
      </c>
      <c r="N40" s="10"/>
      <c r="O40" s="10"/>
      <c r="X40" s="57"/>
      <c r="Y40" s="58"/>
    </row>
    <row r="41" spans="2:45" ht="12.75" customHeight="1" x14ac:dyDescent="0.3">
      <c r="B41" s="204"/>
      <c r="I41" s="6" t="s">
        <v>102</v>
      </c>
      <c r="J41" s="6"/>
      <c r="K41" s="46">
        <f>IF(F32=0,0,F35/F32)</f>
        <v>0</v>
      </c>
      <c r="L41" s="6" t="s">
        <v>103</v>
      </c>
      <c r="N41" s="10"/>
      <c r="O41" s="10"/>
      <c r="X41" s="57"/>
      <c r="Y41" s="58"/>
    </row>
    <row r="42" spans="2:45" ht="12.75" customHeight="1" x14ac:dyDescent="0.4">
      <c r="B42" s="204"/>
      <c r="D42" s="5" t="str">
        <f>CONCATENATE(F12," / ",E11," (",F16,")")</f>
        <v>Hyundai / i30 Fastback 1.4T - GDI - Level 4 (Petrol)</v>
      </c>
      <c r="I42" s="6" t="s">
        <v>78</v>
      </c>
      <c r="J42" s="6"/>
      <c r="K42" s="46">
        <f>K39*K5/1000</f>
        <v>0</v>
      </c>
      <c r="L42" s="6" t="s">
        <v>89</v>
      </c>
      <c r="N42" s="10"/>
      <c r="O42" s="10"/>
      <c r="X42" s="57"/>
      <c r="Y42" s="58"/>
    </row>
    <row r="43" spans="2:45" ht="3" customHeight="1" x14ac:dyDescent="0.3">
      <c r="B43" s="216"/>
      <c r="I43" s="1"/>
      <c r="J43" s="1"/>
      <c r="K43" s="175"/>
      <c r="N43" s="10"/>
      <c r="O43" s="10"/>
      <c r="X43" s="57"/>
      <c r="Y43" s="58"/>
    </row>
    <row r="44" spans="2:45" ht="5.25" customHeight="1" x14ac:dyDescent="0.3">
      <c r="B44" s="217"/>
      <c r="C44" s="216"/>
      <c r="D44" s="217"/>
      <c r="E44" s="217"/>
      <c r="F44" s="217"/>
      <c r="G44" s="217"/>
      <c r="H44" s="217"/>
      <c r="I44" s="217"/>
      <c r="J44" s="217"/>
      <c r="K44" s="217"/>
      <c r="L44" s="217"/>
      <c r="M44" s="217"/>
      <c r="N44" s="217"/>
      <c r="O44" s="217"/>
      <c r="P44" s="217"/>
      <c r="Q44" s="217"/>
      <c r="R44" s="217"/>
      <c r="S44" s="217"/>
      <c r="T44" s="217"/>
      <c r="U44" s="217"/>
      <c r="V44" s="217"/>
      <c r="W44" s="217"/>
      <c r="X44" s="217"/>
      <c r="Y44" s="217"/>
      <c r="Z44" s="217"/>
      <c r="AA44" s="217"/>
      <c r="AB44" s="216"/>
      <c r="AC44" s="216"/>
      <c r="AD44" s="216"/>
      <c r="AE44" s="216"/>
      <c r="AF44" s="216"/>
      <c r="AG44" s="216"/>
      <c r="AH44" s="216"/>
    </row>
    <row r="45" spans="2:45" ht="4.5" customHeight="1" x14ac:dyDescent="0.3">
      <c r="I45" s="1"/>
      <c r="J45" s="1"/>
      <c r="K45" s="175"/>
      <c r="M45" s="21"/>
      <c r="N45" s="21"/>
      <c r="O45" s="21"/>
      <c r="P45" s="21"/>
      <c r="Q45" s="53"/>
      <c r="R45" s="60"/>
      <c r="S45" s="61"/>
      <c r="T45" s="58"/>
    </row>
    <row r="46" spans="2:45" ht="12.75" customHeight="1" thickBot="1" x14ac:dyDescent="0.35">
      <c r="B46" s="260" t="s">
        <v>104</v>
      </c>
      <c r="C46" s="11"/>
      <c r="D46" s="261" t="s">
        <v>27</v>
      </c>
      <c r="E46" s="261"/>
      <c r="F46" s="261"/>
      <c r="G46" s="261"/>
      <c r="I46" s="138" t="s">
        <v>28</v>
      </c>
      <c r="J46" s="139"/>
      <c r="K46" s="140"/>
      <c r="L46" s="140"/>
      <c r="N46" s="10"/>
      <c r="O46" s="262" t="s">
        <v>29</v>
      </c>
      <c r="P46" s="262"/>
      <c r="Q46" s="262"/>
      <c r="R46" s="262"/>
      <c r="S46" s="262"/>
      <c r="T46" s="262"/>
      <c r="U46" s="262" t="s">
        <v>30</v>
      </c>
      <c r="V46" s="262"/>
      <c r="W46" s="212" t="str">
        <f>CONCATENATE("Investment horizon ",F39," years")</f>
        <v>Investment horizon  years</v>
      </c>
      <c r="X46" s="5"/>
      <c r="Y46" s="101"/>
      <c r="Z46" s="10"/>
      <c r="AB46" s="10"/>
      <c r="AE46" s="207"/>
      <c r="AH46" s="10"/>
      <c r="AI46" s="18"/>
      <c r="AJ46" s="18"/>
      <c r="AK46" s="18"/>
      <c r="AL46" s="167"/>
      <c r="AM46" s="18"/>
      <c r="AN46" s="19"/>
      <c r="AO46" s="18"/>
      <c r="AP46" s="18"/>
      <c r="AQ46" s="166"/>
      <c r="AR46" s="135"/>
    </row>
    <row r="47" spans="2:45" ht="29.25" customHeight="1" x14ac:dyDescent="0.3">
      <c r="B47" s="260"/>
      <c r="D47" s="182" t="s">
        <v>31</v>
      </c>
      <c r="E47" s="270" t="s">
        <v>167</v>
      </c>
      <c r="F47" s="268"/>
      <c r="G47" s="269"/>
      <c r="I47" s="64" t="s">
        <v>33</v>
      </c>
      <c r="J47" s="64"/>
      <c r="K47" s="154">
        <f>K4*K3</f>
        <v>15000</v>
      </c>
      <c r="L47" s="3" t="s">
        <v>34</v>
      </c>
      <c r="N47" s="196" t="s">
        <v>35</v>
      </c>
      <c r="O47" s="113" t="s">
        <v>36</v>
      </c>
      <c r="P47" s="103" t="s">
        <v>37</v>
      </c>
      <c r="Q47" s="103" t="s">
        <v>38</v>
      </c>
      <c r="R47" s="103" t="s">
        <v>39</v>
      </c>
      <c r="S47" s="103" t="str">
        <f>IF(F52=D136,"Battery leasing","")</f>
        <v>Battery leasing</v>
      </c>
      <c r="T47" s="103" t="str">
        <f>IF($F$52=$D$136,"Electricity price",IF($F$52=$D$137,"Petrol price",IF($F$52=$D$138,"Diesel price","Gas price")))</f>
        <v>Electricity price</v>
      </c>
      <c r="U47" s="103" t="str">
        <f>IF($F$52=$D$136,"Electricity costs",IF($F$52=$D$137,"Petrol costs",IF($F$52=$D$138,"Diesel costs","Gas costs")))</f>
        <v>Electricity costs</v>
      </c>
      <c r="V47" s="113" t="s">
        <v>40</v>
      </c>
      <c r="W47" s="114" t="s">
        <v>41</v>
      </c>
      <c r="X47" s="183" t="s">
        <v>42</v>
      </c>
      <c r="Y47" s="197" t="s">
        <v>43</v>
      </c>
      <c r="Z47" s="198" t="str">
        <f>IF($F$16=$D$136,"Battery Capacity","")</f>
        <v/>
      </c>
      <c r="AA47" s="198" t="str">
        <f>IF($F$16=$D$136,"Battery Capacity","")</f>
        <v/>
      </c>
      <c r="AB47" s="115" t="s">
        <v>44</v>
      </c>
      <c r="AF47" s="36"/>
      <c r="AI47" s="10"/>
      <c r="AJ47" s="18"/>
      <c r="AK47" s="18"/>
      <c r="AL47" s="18"/>
      <c r="AM47" s="167"/>
      <c r="AN47" s="18"/>
      <c r="AO47" s="19"/>
      <c r="AP47" s="18"/>
      <c r="AQ47" s="18"/>
      <c r="AR47" s="166"/>
      <c r="AS47" s="135"/>
    </row>
    <row r="48" spans="2:45" ht="12.75" customHeight="1" thickBot="1" x14ac:dyDescent="0.35">
      <c r="B48" s="260"/>
      <c r="D48" s="3" t="s">
        <v>45</v>
      </c>
      <c r="E48" s="3"/>
      <c r="F48" s="263" t="str">
        <f>VLOOKUP(Car_2,details_of_models,3,0)</f>
        <v>Hyundai</v>
      </c>
      <c r="G48" s="263"/>
      <c r="I48" s="47" t="str">
        <f>IF(Fuel_type_car_2=Electrical,"Electricity costs",IF(Fuel_type_car_2=Petrol,"Petrol costs",IF(Fuel_type_car_2=Diesel,"Diesel costs","Gas costs")))</f>
        <v>Electricity costs</v>
      </c>
      <c r="J48" s="47"/>
      <c r="K48" s="63">
        <f>IF(Fuel_type_car_2=Electrical,Electrical_Energy_demand_car_2*Electricity_price/100,IF(Fuel_type_car_2=Petrol,Fossile_Fuel_demand_car_2*Petrol_price,IF(Fuel_type_car_2=Diesel,Fossile_Fuel_demand_car_2*Diesel_price,Fossile_Fuel_demand_car_2*Gas_price)))</f>
        <v>517.5</v>
      </c>
      <c r="L48" s="47" t="s">
        <v>46</v>
      </c>
      <c r="N48" s="100" t="s">
        <v>35</v>
      </c>
      <c r="O48" s="12" t="s">
        <v>47</v>
      </c>
      <c r="P48" s="13"/>
      <c r="Q48" s="13" t="s">
        <v>47</v>
      </c>
      <c r="R48" s="13" t="s">
        <v>47</v>
      </c>
      <c r="S48" s="13" t="str">
        <f>IF(F52=D136,"Euro","")</f>
        <v>Euro</v>
      </c>
      <c r="T48" s="13" t="str">
        <f>IF(F52=D136,"Cent/kWh","Euro/L")</f>
        <v>Cent/kWh</v>
      </c>
      <c r="U48" s="13" t="s">
        <v>47</v>
      </c>
      <c r="V48" s="12" t="s">
        <v>47</v>
      </c>
      <c r="W48" s="14" t="s">
        <v>47</v>
      </c>
      <c r="X48" s="14" t="s">
        <v>47</v>
      </c>
      <c r="Y48" s="15">
        <v>1</v>
      </c>
      <c r="Z48" s="16" t="str">
        <f>IF($F$16=$D$136,"km","")</f>
        <v/>
      </c>
      <c r="AA48" s="16" t="str">
        <f>IF($F$16=$D$136,"% of capacity","")</f>
        <v/>
      </c>
      <c r="AB48" s="105" t="s">
        <v>48</v>
      </c>
      <c r="AF48" s="53"/>
      <c r="AI48" s="10"/>
      <c r="AJ48" s="18"/>
      <c r="AK48" s="18"/>
      <c r="AL48" s="18"/>
      <c r="AM48" s="167"/>
      <c r="AN48" s="18"/>
      <c r="AO48" s="19"/>
      <c r="AP48" s="18"/>
      <c r="AQ48" s="18"/>
      <c r="AR48" s="166"/>
      <c r="AS48" s="135"/>
    </row>
    <row r="49" spans="2:45" ht="12.75" customHeight="1" x14ac:dyDescent="0.3">
      <c r="B49" s="260"/>
      <c r="D49" s="6" t="s">
        <v>49</v>
      </c>
      <c r="E49" s="6"/>
      <c r="F49" s="264" t="str">
        <f>VLOOKUP(Car_2,details_of_models,4,0)</f>
        <v>Car</v>
      </c>
      <c r="G49" s="264"/>
      <c r="I49" s="6" t="s">
        <v>50</v>
      </c>
      <c r="J49" s="6"/>
      <c r="K49" s="46">
        <f>IF(Fuel_type_car_2=Electrical,Electrical_Energy_demand_car_2,Fossile_Energy_demand_car_2)</f>
        <v>1916.6666666666667</v>
      </c>
      <c r="L49" s="6" t="s">
        <v>51</v>
      </c>
      <c r="N49" s="155">
        <v>0</v>
      </c>
      <c r="O49" s="107">
        <f>-F54</f>
        <v>-31500</v>
      </c>
      <c r="P49" s="50"/>
      <c r="Q49" s="50"/>
      <c r="R49" s="50"/>
      <c r="S49" s="50"/>
      <c r="T49" s="50"/>
      <c r="U49" s="50"/>
      <c r="V49" s="108">
        <f>O49</f>
        <v>-31500</v>
      </c>
      <c r="W49" s="109">
        <f>V49*Y49</f>
        <v>-31500</v>
      </c>
      <c r="X49" s="109">
        <f>ABS(W49)</f>
        <v>31500</v>
      </c>
      <c r="Y49" s="156">
        <f t="shared" ref="Y49:Y69" si="17">1/(1+$F$4)^N49</f>
        <v>1</v>
      </c>
      <c r="Z49" s="157" t="str">
        <f>IF($F$16=$D$136,1-U49*$K$35,"")</f>
        <v/>
      </c>
      <c r="AA49" s="159" t="str">
        <f>IF($F$16=$D$136,$K$36*Z49,"")</f>
        <v/>
      </c>
      <c r="AB49" s="106">
        <v>0</v>
      </c>
      <c r="AF49" s="208"/>
      <c r="AI49" s="10"/>
      <c r="AJ49" s="18"/>
      <c r="AK49" s="18"/>
      <c r="AL49" s="18"/>
      <c r="AM49" s="167"/>
      <c r="AN49" s="18"/>
      <c r="AO49" s="19"/>
      <c r="AP49" s="18"/>
      <c r="AQ49" s="18"/>
      <c r="AR49" s="166"/>
      <c r="AS49" s="135"/>
    </row>
    <row r="50" spans="2:45" ht="12.75" customHeight="1" x14ac:dyDescent="0.3">
      <c r="B50" s="260"/>
      <c r="D50" s="3"/>
      <c r="E50" s="3"/>
      <c r="F50" s="248"/>
      <c r="G50" s="248"/>
      <c r="I50" s="152" t="s">
        <v>37</v>
      </c>
      <c r="J50" s="152"/>
      <c r="K50" s="237">
        <f>F3*F55</f>
        <v>0</v>
      </c>
      <c r="L50" s="152" t="s">
        <v>47</v>
      </c>
      <c r="N50" s="102">
        <f>N49+1</f>
        <v>1</v>
      </c>
      <c r="O50" s="22"/>
      <c r="P50" s="23">
        <f>-$F$55</f>
        <v>0</v>
      </c>
      <c r="Q50" s="23">
        <v>0</v>
      </c>
      <c r="R50" s="23">
        <f>-(F56+F57+F58)</f>
        <v>-314.36</v>
      </c>
      <c r="S50" s="23">
        <f t="shared" ref="S50:S69" si="18">IF($F$52=$D$136,-$F$70,0)</f>
        <v>0</v>
      </c>
      <c r="T50" s="24">
        <f>IF($F$52=$D$136,$P$3,IF($F$52=$D$137,$P$4,IF($F$52=$D$138,$P$5,$P$6)))</f>
        <v>27</v>
      </c>
      <c r="U50" s="23">
        <f t="shared" ref="U50:U69" si="19">IF($F$52=$D$136,-$K$75*T50/100,IF($F$52=$D$137,-$K$62*T50,IF($F$52=$D$138,-$K$62*T50,-$K$62*T50)))</f>
        <v>-517.5</v>
      </c>
      <c r="V50" s="25">
        <f>O50+P50+Q50+R50+S50+U50</f>
        <v>-831.86</v>
      </c>
      <c r="W50" s="26">
        <f>V50*Y50</f>
        <v>-815.54901960784309</v>
      </c>
      <c r="X50" s="27">
        <f>X49+ABS(W50)</f>
        <v>32315.549019607843</v>
      </c>
      <c r="Y50" s="28">
        <f t="shared" si="17"/>
        <v>0.98039215686274506</v>
      </c>
      <c r="Z50" s="20" t="str">
        <f t="shared" ref="Z50:Z69" si="20">IF($F$16=$D$136,1-N50*$K$35,"")</f>
        <v/>
      </c>
      <c r="AA50" s="160" t="str">
        <f>IF($F$16=$D$136,$K$36*Z50,"")</f>
        <v/>
      </c>
      <c r="AB50" s="104">
        <f>IF(F52&lt;&gt;D136,$K$68/1000,$K$78/1000)</f>
        <v>0</v>
      </c>
      <c r="AF50" s="208"/>
      <c r="AI50" s="10"/>
      <c r="AJ50" s="18"/>
      <c r="AK50" s="18"/>
      <c r="AL50" s="18"/>
      <c r="AM50" s="167"/>
      <c r="AN50" s="18"/>
      <c r="AO50" s="19"/>
      <c r="AP50" s="18"/>
      <c r="AQ50" s="18"/>
      <c r="AR50" s="166"/>
      <c r="AS50" s="135"/>
    </row>
    <row r="51" spans="2:45" ht="12.75" customHeight="1" x14ac:dyDescent="0.3">
      <c r="B51" s="260"/>
      <c r="D51" s="3"/>
      <c r="E51" s="3"/>
      <c r="F51" s="248"/>
      <c r="G51" s="248"/>
      <c r="I51" s="3"/>
      <c r="J51" s="3"/>
      <c r="K51" s="154"/>
      <c r="L51" s="3"/>
      <c r="N51" s="102">
        <f t="shared" ref="N51:N52" si="21">N50+1</f>
        <v>2</v>
      </c>
      <c r="O51" s="22"/>
      <c r="P51" s="23">
        <f t="shared" ref="P51:P69" si="22">-$F$55</f>
        <v>0</v>
      </c>
      <c r="Q51" s="23">
        <v>0</v>
      </c>
      <c r="R51" s="23">
        <f>(R50)*(1+$F$5)</f>
        <v>-320.6472</v>
      </c>
      <c r="S51" s="23">
        <f t="shared" si="18"/>
        <v>0</v>
      </c>
      <c r="T51" s="24">
        <f t="shared" ref="T51:T69" si="23">IF($F$52=$D$136,T50*(1+$U$3),IF($F$52=$D$137,T50*(1+$U$4),IF($F$52=$D$138,T50*(1+$U$5),T50*(1+$U$6))))</f>
        <v>27.836999999999996</v>
      </c>
      <c r="U51" s="23">
        <f t="shared" si="19"/>
        <v>-533.5424999999999</v>
      </c>
      <c r="V51" s="25">
        <f t="shared" ref="V51:V69" si="24">O51+P51+Q51+R51+S51+U51</f>
        <v>-854.1896999999999</v>
      </c>
      <c r="W51" s="26">
        <f t="shared" ref="W51:W52" si="25">V51*Y51</f>
        <v>-821.02047289504037</v>
      </c>
      <c r="X51" s="27">
        <f t="shared" ref="X51:X52" si="26">X50+ABS(W51)</f>
        <v>33136.56949250288</v>
      </c>
      <c r="Y51" s="28">
        <f t="shared" si="17"/>
        <v>0.96116878123798544</v>
      </c>
      <c r="Z51" s="20" t="str">
        <f t="shared" si="20"/>
        <v/>
      </c>
      <c r="AA51" s="160" t="str">
        <f t="shared" ref="AA51:AA69" si="27">IF($F$16=$D$136,$K$36*Y51,"")</f>
        <v/>
      </c>
      <c r="AB51" s="104">
        <f t="shared" ref="AB51:AB69" si="28">$AB$50*N51</f>
        <v>0</v>
      </c>
      <c r="AF51" s="208"/>
      <c r="AI51" s="10"/>
      <c r="AJ51" s="18"/>
      <c r="AK51" s="18"/>
      <c r="AL51" s="18"/>
      <c r="AM51" s="167"/>
      <c r="AN51" s="18"/>
      <c r="AO51" s="19"/>
      <c r="AP51" s="18"/>
      <c r="AQ51" s="18"/>
      <c r="AR51" s="166"/>
      <c r="AS51" s="135"/>
    </row>
    <row r="52" spans="2:45" ht="12.75" customHeight="1" x14ac:dyDescent="0.3">
      <c r="B52" s="260"/>
      <c r="D52" s="3" t="s">
        <v>52</v>
      </c>
      <c r="E52" s="3"/>
      <c r="F52" s="264" t="str">
        <f>VLOOKUP(Car_2,details_of_models,5,0)</f>
        <v>Electrical</v>
      </c>
      <c r="G52" s="264"/>
      <c r="I52" s="151" t="s">
        <v>53</v>
      </c>
      <c r="J52" s="151"/>
      <c r="K52" s="237">
        <f>IF(F3=3,-SUM(W49:W52),IF(F3=5,-SUM(W49:W54),IF(F3=10,-SUM(W49:W59),IF(F3=15,-SUM(W49:W64),-SUM(W49:W69)))))</f>
        <v>39908.921674173631</v>
      </c>
      <c r="L52" s="152" t="s">
        <v>47</v>
      </c>
      <c r="N52" s="91">
        <f t="shared" si="21"/>
        <v>3</v>
      </c>
      <c r="O52" s="22"/>
      <c r="P52" s="23">
        <f t="shared" si="22"/>
        <v>0</v>
      </c>
      <c r="Q52" s="23">
        <v>0</v>
      </c>
      <c r="R52" s="23">
        <f t="shared" ref="R52" si="29">(R51)*(1+$F$5)</f>
        <v>-327.06014399999998</v>
      </c>
      <c r="S52" s="23">
        <f t="shared" si="18"/>
        <v>0</v>
      </c>
      <c r="T52" s="24">
        <f t="shared" si="23"/>
        <v>28.699946999999995</v>
      </c>
      <c r="U52" s="23">
        <f t="shared" si="19"/>
        <v>-550.08231749999993</v>
      </c>
      <c r="V52" s="25">
        <f t="shared" si="24"/>
        <v>-877.14246149999985</v>
      </c>
      <c r="W52" s="26">
        <f t="shared" si="25"/>
        <v>-826.55093205102105</v>
      </c>
      <c r="X52" s="27">
        <f t="shared" si="26"/>
        <v>33963.120424553905</v>
      </c>
      <c r="Y52" s="28">
        <f t="shared" si="17"/>
        <v>0.94232233454704462</v>
      </c>
      <c r="Z52" s="20" t="str">
        <f t="shared" si="20"/>
        <v/>
      </c>
      <c r="AA52" s="160" t="str">
        <f t="shared" si="27"/>
        <v/>
      </c>
      <c r="AB52" s="104">
        <f t="shared" si="28"/>
        <v>0</v>
      </c>
      <c r="AF52" s="168"/>
      <c r="AI52" s="10"/>
      <c r="AJ52" s="18"/>
      <c r="AK52" s="18"/>
      <c r="AL52" s="18"/>
      <c r="AM52" s="167"/>
      <c r="AN52" s="18"/>
      <c r="AO52" s="19"/>
      <c r="AP52" s="18"/>
      <c r="AQ52" s="18"/>
      <c r="AR52" s="166"/>
      <c r="AS52" s="135"/>
    </row>
    <row r="53" spans="2:45" ht="12.75" customHeight="1" x14ac:dyDescent="0.3">
      <c r="B53" s="260"/>
      <c r="D53" s="6" t="s">
        <v>54</v>
      </c>
      <c r="E53" s="6"/>
      <c r="F53" s="122">
        <f>VLOOKUP(Car_2,details_of_models,14,0)</f>
        <v>88</v>
      </c>
      <c r="G53" s="6" t="s">
        <v>55</v>
      </c>
      <c r="I53" s="49" t="s">
        <v>56</v>
      </c>
      <c r="J53" s="49"/>
      <c r="K53" s="46">
        <f>K56*K52</f>
        <v>4442.9216808346227</v>
      </c>
      <c r="L53" s="6" t="s">
        <v>46</v>
      </c>
      <c r="N53" s="91">
        <f t="shared" ref="N53:N69" si="30">N52+1</f>
        <v>4</v>
      </c>
      <c r="O53" s="22"/>
      <c r="P53" s="23">
        <f t="shared" si="22"/>
        <v>0</v>
      </c>
      <c r="Q53" s="23">
        <v>0</v>
      </c>
      <c r="R53" s="23">
        <f t="shared" ref="R53:R69" si="31">(R52)*(1+$F$5)</f>
        <v>-333.60134687999999</v>
      </c>
      <c r="S53" s="23">
        <f t="shared" si="18"/>
        <v>0</v>
      </c>
      <c r="T53" s="24">
        <f t="shared" si="23"/>
        <v>29.589645356999991</v>
      </c>
      <c r="U53" s="23">
        <f t="shared" si="19"/>
        <v>-567.13486934249988</v>
      </c>
      <c r="V53" s="25">
        <f t="shared" si="24"/>
        <v>-900.73621622249993</v>
      </c>
      <c r="W53" s="26">
        <f t="shared" ref="W53:W69" si="32">V53*Y53</f>
        <v>-832.14103341358589</v>
      </c>
      <c r="X53" s="27">
        <f t="shared" ref="X53:X69" si="33">X52+ABS(W53)</f>
        <v>34795.261457967492</v>
      </c>
      <c r="Y53" s="28">
        <f t="shared" si="17"/>
        <v>0.9238454260265142</v>
      </c>
      <c r="Z53" s="20" t="str">
        <f t="shared" si="20"/>
        <v/>
      </c>
      <c r="AA53" s="160" t="str">
        <f t="shared" si="27"/>
        <v/>
      </c>
      <c r="AB53" s="104">
        <f t="shared" si="28"/>
        <v>0</v>
      </c>
      <c r="AF53" s="201"/>
      <c r="AI53" s="10"/>
      <c r="AJ53" s="18"/>
      <c r="AK53" s="18"/>
      <c r="AL53" s="18"/>
      <c r="AM53" s="167"/>
      <c r="AN53" s="18"/>
      <c r="AO53" s="19"/>
      <c r="AP53" s="18"/>
      <c r="AQ53" s="18"/>
      <c r="AR53" s="166"/>
      <c r="AS53" s="135"/>
    </row>
    <row r="54" spans="2:45" ht="12.75" customHeight="1" x14ac:dyDescent="0.3">
      <c r="B54" s="260"/>
      <c r="D54" s="6" t="s">
        <v>57</v>
      </c>
      <c r="E54" s="6"/>
      <c r="F54" s="119">
        <f>VLOOKUP(Car_2,details_of_models,6,0)</f>
        <v>31500</v>
      </c>
      <c r="G54" s="6" t="s">
        <v>47</v>
      </c>
      <c r="I54" s="55" t="s">
        <v>58</v>
      </c>
      <c r="J54" s="55"/>
      <c r="K54" s="238">
        <f>ABS(K53/K47)*100</f>
        <v>29.619477872230821</v>
      </c>
      <c r="L54" s="56" t="s">
        <v>59</v>
      </c>
      <c r="N54" s="91">
        <f t="shared" si="30"/>
        <v>5</v>
      </c>
      <c r="O54" s="22"/>
      <c r="P54" s="23">
        <f t="shared" si="22"/>
        <v>0</v>
      </c>
      <c r="Q54" s="23">
        <v>0</v>
      </c>
      <c r="R54" s="23">
        <f t="shared" si="31"/>
        <v>-340.27337381759997</v>
      </c>
      <c r="S54" s="23">
        <f t="shared" si="18"/>
        <v>0</v>
      </c>
      <c r="T54" s="24">
        <f t="shared" si="23"/>
        <v>30.50692436306699</v>
      </c>
      <c r="U54" s="23">
        <f t="shared" si="19"/>
        <v>-584.7160502921173</v>
      </c>
      <c r="V54" s="25">
        <f t="shared" si="24"/>
        <v>-924.98942410971722</v>
      </c>
      <c r="W54" s="26">
        <f t="shared" si="32"/>
        <v>-837.79142018300172</v>
      </c>
      <c r="X54" s="27">
        <f t="shared" si="33"/>
        <v>35633.052878150491</v>
      </c>
      <c r="Y54" s="28">
        <f t="shared" si="17"/>
        <v>0.90573080982991594</v>
      </c>
      <c r="Z54" s="20" t="str">
        <f t="shared" si="20"/>
        <v/>
      </c>
      <c r="AA54" s="160" t="str">
        <f t="shared" si="27"/>
        <v/>
      </c>
      <c r="AB54" s="104">
        <f t="shared" si="28"/>
        <v>0</v>
      </c>
      <c r="AF54" s="201"/>
      <c r="AI54" s="10"/>
      <c r="AJ54" s="18"/>
      <c r="AK54" s="18"/>
      <c r="AL54" s="18"/>
      <c r="AM54" s="167"/>
      <c r="AN54" s="18"/>
      <c r="AO54" s="19"/>
      <c r="AP54" s="18"/>
      <c r="AQ54" s="18"/>
      <c r="AR54" s="166"/>
      <c r="AS54" s="135"/>
    </row>
    <row r="55" spans="2:45" ht="12.75" customHeight="1" x14ac:dyDescent="0.3">
      <c r="B55" s="260"/>
      <c r="D55" s="6" t="s">
        <v>37</v>
      </c>
      <c r="E55" s="6"/>
      <c r="F55" s="119">
        <f>VLOOKUP(Car_2,details_of_models,7,0)*12</f>
        <v>0</v>
      </c>
      <c r="G55" s="6" t="s">
        <v>46</v>
      </c>
      <c r="I55" s="245"/>
      <c r="J55" s="245"/>
      <c r="K55" s="246"/>
      <c r="L55" s="247"/>
      <c r="N55" s="91">
        <f t="shared" si="30"/>
        <v>6</v>
      </c>
      <c r="O55" s="22"/>
      <c r="P55" s="23">
        <f t="shared" si="22"/>
        <v>0</v>
      </c>
      <c r="Q55" s="23">
        <v>0</v>
      </c>
      <c r="R55" s="23">
        <f t="shared" si="31"/>
        <v>-347.078841293952</v>
      </c>
      <c r="S55" s="23">
        <f t="shared" si="18"/>
        <v>0</v>
      </c>
      <c r="T55" s="24">
        <f t="shared" si="23"/>
        <v>31.452639018322063</v>
      </c>
      <c r="U55" s="23">
        <f t="shared" si="19"/>
        <v>-602.84224785117294</v>
      </c>
      <c r="V55" s="25">
        <f t="shared" si="24"/>
        <v>-949.92108914512494</v>
      </c>
      <c r="W55" s="26">
        <f t="shared" si="32"/>
        <v>-843.50274249600943</v>
      </c>
      <c r="X55" s="27">
        <f t="shared" si="33"/>
        <v>36476.555620646497</v>
      </c>
      <c r="Y55" s="28">
        <f t="shared" si="17"/>
        <v>0.88797138218619198</v>
      </c>
      <c r="Z55" s="20" t="str">
        <f t="shared" si="20"/>
        <v/>
      </c>
      <c r="AA55" s="160" t="str">
        <f t="shared" si="27"/>
        <v/>
      </c>
      <c r="AB55" s="104">
        <f t="shared" si="28"/>
        <v>0</v>
      </c>
      <c r="AF55" s="201"/>
      <c r="AI55" s="10"/>
      <c r="AJ55" s="18"/>
      <c r="AK55" s="18"/>
      <c r="AL55" s="18"/>
      <c r="AM55" s="167"/>
      <c r="AN55" s="18"/>
      <c r="AO55" s="19"/>
      <c r="AP55" s="18"/>
      <c r="AQ55" s="18"/>
      <c r="AR55" s="166"/>
      <c r="AS55" s="135"/>
    </row>
    <row r="56" spans="2:45" ht="12.75" customHeight="1" x14ac:dyDescent="0.3">
      <c r="B56" s="260"/>
      <c r="D56" s="6" t="s">
        <v>60</v>
      </c>
      <c r="E56" s="6"/>
      <c r="F56" s="130">
        <f>VLOOKUP(Car_2,details_of_models,21,0)</f>
        <v>200</v>
      </c>
      <c r="G56" s="6" t="s">
        <v>46</v>
      </c>
      <c r="I56" s="49" t="s">
        <v>61</v>
      </c>
      <c r="J56" s="49"/>
      <c r="K56" s="265">
        <f>F4*(1+F4)^F3/((1+F4)^F3-1)</f>
        <v>0.11132652786531647</v>
      </c>
      <c r="L56" s="265"/>
      <c r="N56" s="91">
        <f t="shared" si="30"/>
        <v>7</v>
      </c>
      <c r="O56" s="22"/>
      <c r="P56" s="23">
        <f t="shared" si="22"/>
        <v>0</v>
      </c>
      <c r="Q56" s="23">
        <v>0</v>
      </c>
      <c r="R56" s="23">
        <f t="shared" si="31"/>
        <v>-354.02041811983105</v>
      </c>
      <c r="S56" s="23">
        <f t="shared" si="18"/>
        <v>0</v>
      </c>
      <c r="T56" s="24">
        <f t="shared" si="23"/>
        <v>32.427670827890047</v>
      </c>
      <c r="U56" s="23">
        <f t="shared" si="19"/>
        <v>-621.53035753455924</v>
      </c>
      <c r="V56" s="25">
        <f t="shared" si="24"/>
        <v>-975.55077565439024</v>
      </c>
      <c r="W56" s="26">
        <f t="shared" si="32"/>
        <v>-849.2756575006282</v>
      </c>
      <c r="X56" s="27">
        <f t="shared" si="33"/>
        <v>37325.831278147125</v>
      </c>
      <c r="Y56" s="28">
        <f t="shared" si="17"/>
        <v>0.87056017861391388</v>
      </c>
      <c r="Z56" s="20" t="str">
        <f t="shared" si="20"/>
        <v/>
      </c>
      <c r="AA56" s="160" t="str">
        <f t="shared" si="27"/>
        <v/>
      </c>
      <c r="AB56" s="104">
        <f t="shared" si="28"/>
        <v>0</v>
      </c>
      <c r="AF56" s="201"/>
      <c r="AI56" s="59"/>
      <c r="AJ56" s="169"/>
      <c r="AK56" s="169"/>
      <c r="AL56" s="169"/>
      <c r="AM56" s="170"/>
      <c r="AN56" s="169"/>
      <c r="AO56" s="171"/>
      <c r="AP56" s="169"/>
      <c r="AQ56" s="169"/>
      <c r="AR56" s="166"/>
      <c r="AS56" s="136"/>
    </row>
    <row r="57" spans="2:45" ht="12.75" customHeight="1" x14ac:dyDescent="0.4">
      <c r="B57" s="260"/>
      <c r="D57" s="1" t="s">
        <v>62</v>
      </c>
      <c r="F57" s="130">
        <f>VLOOKUP(Car_2,details_of_models,22,0)</f>
        <v>114.35999999999999</v>
      </c>
      <c r="G57" s="1" t="s">
        <v>46</v>
      </c>
      <c r="I57" s="47" t="s">
        <v>63</v>
      </c>
      <c r="J57" s="153"/>
      <c r="K57" s="200">
        <f>IF(F3=10,AB59,IF(F3=15,AB64,AB69))</f>
        <v>0</v>
      </c>
      <c r="L57" s="47" t="s">
        <v>64</v>
      </c>
      <c r="N57" s="91">
        <f t="shared" si="30"/>
        <v>8</v>
      </c>
      <c r="O57" s="22"/>
      <c r="P57" s="23">
        <f t="shared" si="22"/>
        <v>0</v>
      </c>
      <c r="Q57" s="23">
        <v>0</v>
      </c>
      <c r="R57" s="23">
        <f t="shared" si="31"/>
        <v>-361.10082648222766</v>
      </c>
      <c r="S57" s="23">
        <f t="shared" si="18"/>
        <v>0</v>
      </c>
      <c r="T57" s="24">
        <f t="shared" si="23"/>
        <v>33.432928623554638</v>
      </c>
      <c r="U57" s="23">
        <f t="shared" si="19"/>
        <v>-640.79779861813051</v>
      </c>
      <c r="V57" s="25">
        <f t="shared" si="24"/>
        <v>-1001.8986251003582</v>
      </c>
      <c r="W57" s="26">
        <f t="shared" si="32"/>
        <v>-855.11082943176723</v>
      </c>
      <c r="X57" s="27">
        <f t="shared" si="33"/>
        <v>38180.942107578892</v>
      </c>
      <c r="Y57" s="28">
        <f t="shared" si="17"/>
        <v>0.85349037119011162</v>
      </c>
      <c r="Z57" s="20" t="str">
        <f t="shared" si="20"/>
        <v/>
      </c>
      <c r="AA57" s="160" t="str">
        <f t="shared" si="27"/>
        <v/>
      </c>
      <c r="AB57" s="104">
        <f t="shared" si="28"/>
        <v>0</v>
      </c>
      <c r="AF57" s="209"/>
      <c r="AI57" s="10"/>
      <c r="AJ57" s="18"/>
      <c r="AK57" s="18"/>
      <c r="AL57" s="18"/>
      <c r="AM57" s="167"/>
      <c r="AN57" s="18"/>
      <c r="AO57" s="19"/>
      <c r="AP57" s="18"/>
      <c r="AQ57" s="18"/>
      <c r="AR57" s="166"/>
      <c r="AS57" s="135"/>
    </row>
    <row r="58" spans="2:45" ht="12.75" customHeight="1" x14ac:dyDescent="0.3">
      <c r="B58" s="260"/>
      <c r="D58" s="6" t="s">
        <v>65</v>
      </c>
      <c r="E58" s="6"/>
      <c r="F58" s="119">
        <f>IF(F55=0,IF(F52&lt;&gt;D136,(F53-24)*0.55*12,0),0)</f>
        <v>0</v>
      </c>
      <c r="G58" s="6" t="s">
        <v>46</v>
      </c>
      <c r="N58" s="91">
        <f t="shared" si="30"/>
        <v>9</v>
      </c>
      <c r="O58" s="22"/>
      <c r="P58" s="23">
        <f t="shared" si="22"/>
        <v>0</v>
      </c>
      <c r="Q58" s="23">
        <v>0</v>
      </c>
      <c r="R58" s="23">
        <f t="shared" si="31"/>
        <v>-368.32284301187224</v>
      </c>
      <c r="S58" s="23">
        <f t="shared" si="18"/>
        <v>0</v>
      </c>
      <c r="T58" s="24">
        <f t="shared" si="23"/>
        <v>34.469349410884831</v>
      </c>
      <c r="U58" s="23">
        <f t="shared" si="19"/>
        <v>-660.66253037529259</v>
      </c>
      <c r="V58" s="25">
        <f t="shared" si="24"/>
        <v>-1028.9853733871648</v>
      </c>
      <c r="W58" s="26">
        <f t="shared" si="32"/>
        <v>-861.0089296876539</v>
      </c>
      <c r="X58" s="27">
        <f t="shared" si="33"/>
        <v>39041.951037266546</v>
      </c>
      <c r="Y58" s="28">
        <f t="shared" si="17"/>
        <v>0.83675526587265847</v>
      </c>
      <c r="Z58" s="20" t="str">
        <f t="shared" si="20"/>
        <v/>
      </c>
      <c r="AA58" s="160" t="str">
        <f t="shared" si="27"/>
        <v/>
      </c>
      <c r="AB58" s="104">
        <f t="shared" si="28"/>
        <v>0</v>
      </c>
      <c r="AH58" s="11"/>
      <c r="AI58" s="10"/>
      <c r="AJ58" s="18"/>
      <c r="AK58" s="18"/>
      <c r="AL58" s="18"/>
      <c r="AM58" s="167"/>
      <c r="AN58" s="18"/>
      <c r="AO58" s="19"/>
      <c r="AP58" s="18"/>
      <c r="AQ58" s="18"/>
      <c r="AR58" s="166"/>
      <c r="AS58" s="135"/>
    </row>
    <row r="59" spans="2:45" ht="12.75" customHeight="1" x14ac:dyDescent="0.3">
      <c r="B59" s="260"/>
      <c r="I59" s="11" t="s">
        <v>66</v>
      </c>
      <c r="J59" s="1"/>
      <c r="N59" s="92">
        <f t="shared" si="30"/>
        <v>10</v>
      </c>
      <c r="O59" s="30"/>
      <c r="P59" s="31">
        <f t="shared" si="22"/>
        <v>0</v>
      </c>
      <c r="Q59" s="31">
        <v>0</v>
      </c>
      <c r="R59" s="31">
        <f t="shared" si="31"/>
        <v>-375.6892998721097</v>
      </c>
      <c r="S59" s="31">
        <f t="shared" si="18"/>
        <v>0</v>
      </c>
      <c r="T59" s="32">
        <f t="shared" si="23"/>
        <v>35.53789924262226</v>
      </c>
      <c r="U59" s="31">
        <f t="shared" si="19"/>
        <v>-681.14306881692664</v>
      </c>
      <c r="V59" s="33">
        <f t="shared" si="24"/>
        <v>-1056.8323686890362</v>
      </c>
      <c r="W59" s="34">
        <f t="shared" si="32"/>
        <v>-866.97063690708421</v>
      </c>
      <c r="X59" s="35">
        <f t="shared" si="33"/>
        <v>39908.921674173631</v>
      </c>
      <c r="Y59" s="187">
        <f t="shared" si="17"/>
        <v>0.82034829987515534</v>
      </c>
      <c r="Z59" s="188" t="str">
        <f t="shared" si="20"/>
        <v/>
      </c>
      <c r="AA59" s="189" t="str">
        <f t="shared" si="27"/>
        <v/>
      </c>
      <c r="AB59" s="110">
        <f t="shared" si="28"/>
        <v>0</v>
      </c>
      <c r="AD59" s="162"/>
      <c r="AE59" s="11"/>
      <c r="AF59" s="37"/>
      <c r="AG59" s="37"/>
      <c r="AI59" s="10"/>
      <c r="AJ59" s="18"/>
      <c r="AK59" s="18"/>
      <c r="AL59" s="18"/>
      <c r="AM59" s="167"/>
      <c r="AN59" s="18"/>
      <c r="AO59" s="19"/>
      <c r="AP59" s="18"/>
      <c r="AQ59" s="18"/>
      <c r="AR59" s="166"/>
      <c r="AS59" s="135"/>
    </row>
    <row r="60" spans="2:45" ht="12.75" customHeight="1" x14ac:dyDescent="0.3">
      <c r="B60" s="260"/>
      <c r="D60" s="11" t="s">
        <v>66</v>
      </c>
      <c r="I60" s="6" t="s">
        <v>67</v>
      </c>
      <c r="J60" s="6"/>
      <c r="K60" s="38">
        <f>IF(F61=0,0,F63/F61*100)</f>
        <v>0</v>
      </c>
      <c r="L60" s="6" t="s">
        <v>6</v>
      </c>
      <c r="N60" s="91">
        <f t="shared" si="30"/>
        <v>11</v>
      </c>
      <c r="O60" s="22"/>
      <c r="P60" s="23">
        <f t="shared" si="22"/>
        <v>0</v>
      </c>
      <c r="Q60" s="23">
        <v>0</v>
      </c>
      <c r="R60" s="23">
        <f t="shared" si="31"/>
        <v>-383.2030858695519</v>
      </c>
      <c r="S60" s="23">
        <f t="shared" si="18"/>
        <v>0</v>
      </c>
      <c r="T60" s="24">
        <f t="shared" si="23"/>
        <v>36.639574119143546</v>
      </c>
      <c r="U60" s="23">
        <f t="shared" si="19"/>
        <v>-702.25850395025134</v>
      </c>
      <c r="V60" s="25">
        <f t="shared" si="24"/>
        <v>-1085.4615898198033</v>
      </c>
      <c r="W60" s="26">
        <f t="shared" si="32"/>
        <v>-872.99663704750878</v>
      </c>
      <c r="X60" s="27">
        <f t="shared" si="33"/>
        <v>40781.918311221139</v>
      </c>
      <c r="Y60" s="28">
        <f t="shared" si="17"/>
        <v>0.80426303909328967</v>
      </c>
      <c r="Z60" s="20" t="str">
        <f t="shared" si="20"/>
        <v/>
      </c>
      <c r="AA60" s="160" t="str">
        <f t="shared" si="27"/>
        <v/>
      </c>
      <c r="AB60" s="104">
        <f t="shared" si="28"/>
        <v>0</v>
      </c>
      <c r="AF60" s="62"/>
      <c r="AI60" s="10"/>
      <c r="AJ60" s="18"/>
      <c r="AK60" s="18"/>
      <c r="AL60" s="18"/>
      <c r="AM60" s="167"/>
      <c r="AN60" s="18"/>
      <c r="AO60" s="19"/>
      <c r="AP60" s="18"/>
      <c r="AQ60" s="18"/>
      <c r="AR60" s="166"/>
      <c r="AS60" s="135"/>
    </row>
    <row r="61" spans="2:45" ht="12.75" customHeight="1" x14ac:dyDescent="0.3">
      <c r="B61" s="260"/>
      <c r="D61" s="6" t="s">
        <v>106</v>
      </c>
      <c r="E61" s="6"/>
      <c r="F61" s="123">
        <f>VLOOKUP(Car_2,details_of_models,9,0)</f>
        <v>0</v>
      </c>
      <c r="G61" s="6" t="s">
        <v>69</v>
      </c>
      <c r="I61" s="6" t="s">
        <v>70</v>
      </c>
      <c r="J61" s="6"/>
      <c r="K61" s="45">
        <f>(F61*K3/100)</f>
        <v>0</v>
      </c>
      <c r="L61" s="6" t="s">
        <v>71</v>
      </c>
      <c r="N61" s="91">
        <f t="shared" si="30"/>
        <v>12</v>
      </c>
      <c r="O61" s="22"/>
      <c r="P61" s="23">
        <f t="shared" si="22"/>
        <v>0</v>
      </c>
      <c r="Q61" s="23">
        <v>0</v>
      </c>
      <c r="R61" s="23">
        <f t="shared" si="31"/>
        <v>-390.86714758694296</v>
      </c>
      <c r="S61" s="23">
        <f t="shared" si="18"/>
        <v>0</v>
      </c>
      <c r="T61" s="24">
        <f t="shared" si="23"/>
        <v>37.775400916836993</v>
      </c>
      <c r="U61" s="23">
        <f t="shared" si="19"/>
        <v>-724.02851757270912</v>
      </c>
      <c r="V61" s="25">
        <f t="shared" si="24"/>
        <v>-1114.895665159652</v>
      </c>
      <c r="W61" s="26">
        <f t="shared" si="32"/>
        <v>-879.08762346395713</v>
      </c>
      <c r="X61" s="27">
        <f t="shared" si="33"/>
        <v>41661.005934685098</v>
      </c>
      <c r="Y61" s="28">
        <f t="shared" si="17"/>
        <v>0.78849317558165644</v>
      </c>
      <c r="Z61" s="20" t="str">
        <f t="shared" si="20"/>
        <v/>
      </c>
      <c r="AA61" s="160" t="str">
        <f t="shared" si="27"/>
        <v/>
      </c>
      <c r="AB61" s="104">
        <f t="shared" si="28"/>
        <v>0</v>
      </c>
      <c r="AF61" s="173"/>
      <c r="AI61" s="59"/>
      <c r="AJ61" s="169"/>
      <c r="AK61" s="169"/>
      <c r="AL61" s="169"/>
      <c r="AM61" s="170"/>
      <c r="AN61" s="169"/>
      <c r="AO61" s="171"/>
      <c r="AP61" s="169"/>
      <c r="AQ61" s="169"/>
      <c r="AR61" s="166"/>
      <c r="AS61" s="136"/>
    </row>
    <row r="62" spans="2:45" ht="12.75" customHeight="1" x14ac:dyDescent="0.3">
      <c r="B62" s="260"/>
      <c r="D62" s="1" t="s">
        <v>72</v>
      </c>
      <c r="F62" s="123">
        <f>VLOOKUP(Car_2,details_of_models,10,0)</f>
        <v>0</v>
      </c>
      <c r="G62" s="1" t="s">
        <v>73</v>
      </c>
      <c r="I62" s="6" t="s">
        <v>70</v>
      </c>
      <c r="J62" s="6"/>
      <c r="K62" s="46">
        <f>K47/100*F61</f>
        <v>0</v>
      </c>
      <c r="L62" s="6" t="s">
        <v>74</v>
      </c>
      <c r="N62" s="91">
        <f t="shared" si="30"/>
        <v>13</v>
      </c>
      <c r="O62" s="22"/>
      <c r="P62" s="23">
        <f t="shared" si="22"/>
        <v>0</v>
      </c>
      <c r="Q62" s="23">
        <v>0</v>
      </c>
      <c r="R62" s="23">
        <f t="shared" si="31"/>
        <v>-398.68449053868181</v>
      </c>
      <c r="S62" s="23">
        <f t="shared" si="18"/>
        <v>0</v>
      </c>
      <c r="T62" s="24">
        <f t="shared" si="23"/>
        <v>38.94643834525894</v>
      </c>
      <c r="U62" s="23">
        <f t="shared" si="19"/>
        <v>-746.47340161746308</v>
      </c>
      <c r="V62" s="25">
        <f t="shared" si="24"/>
        <v>-1145.157892156145</v>
      </c>
      <c r="W62" s="26">
        <f t="shared" si="32"/>
        <v>-885.24429698881852</v>
      </c>
      <c r="X62" s="27">
        <f t="shared" si="33"/>
        <v>42546.250231673919</v>
      </c>
      <c r="Y62" s="28">
        <f t="shared" si="17"/>
        <v>0.77303252508005538</v>
      </c>
      <c r="Z62" s="20" t="str">
        <f t="shared" si="20"/>
        <v/>
      </c>
      <c r="AA62" s="160" t="str">
        <f t="shared" si="27"/>
        <v/>
      </c>
      <c r="AB62" s="104">
        <f t="shared" si="28"/>
        <v>0</v>
      </c>
      <c r="AF62" s="62"/>
      <c r="AI62" s="10"/>
      <c r="AJ62" s="172"/>
      <c r="AK62" s="18"/>
      <c r="AL62" s="18"/>
      <c r="AM62" s="167"/>
      <c r="AN62" s="18"/>
      <c r="AO62" s="19"/>
      <c r="AP62" s="18"/>
      <c r="AQ62" s="18"/>
      <c r="AR62" s="166"/>
      <c r="AS62" s="135"/>
    </row>
    <row r="63" spans="2:45" ht="12.75" customHeight="1" x14ac:dyDescent="0.3">
      <c r="B63" s="260"/>
      <c r="D63" s="6" t="s">
        <v>75</v>
      </c>
      <c r="E63" s="6"/>
      <c r="F63" s="119">
        <f>VLOOKUP(Car_2,details_of_models,19,0)</f>
        <v>0</v>
      </c>
      <c r="G63" s="6" t="s">
        <v>76</v>
      </c>
      <c r="I63" s="1" t="s">
        <v>50</v>
      </c>
      <c r="J63" s="1"/>
      <c r="K63" s="53">
        <f>K61*F62</f>
        <v>0</v>
      </c>
      <c r="L63" s="1" t="s">
        <v>77</v>
      </c>
      <c r="N63" s="91">
        <f t="shared" si="30"/>
        <v>14</v>
      </c>
      <c r="O63" s="22"/>
      <c r="P63" s="23">
        <f t="shared" si="22"/>
        <v>0</v>
      </c>
      <c r="Q63" s="23">
        <v>0</v>
      </c>
      <c r="R63" s="23">
        <f t="shared" si="31"/>
        <v>-406.65818034945545</v>
      </c>
      <c r="S63" s="23">
        <f t="shared" si="18"/>
        <v>0</v>
      </c>
      <c r="T63" s="24">
        <f t="shared" si="23"/>
        <v>40.153777933961962</v>
      </c>
      <c r="U63" s="23">
        <f t="shared" si="19"/>
        <v>-769.61407706760428</v>
      </c>
      <c r="V63" s="25">
        <f t="shared" si="24"/>
        <v>-1176.2722574170598</v>
      </c>
      <c r="W63" s="26">
        <f t="shared" si="32"/>
        <v>-891.46736601247699</v>
      </c>
      <c r="X63" s="27">
        <f t="shared" si="33"/>
        <v>43437.717597686395</v>
      </c>
      <c r="Y63" s="28">
        <f t="shared" si="17"/>
        <v>0.75787502458828948</v>
      </c>
      <c r="Z63" s="20" t="str">
        <f t="shared" si="20"/>
        <v/>
      </c>
      <c r="AA63" s="160" t="str">
        <f t="shared" si="27"/>
        <v/>
      </c>
      <c r="AB63" s="104">
        <f t="shared" si="28"/>
        <v>0</v>
      </c>
      <c r="AF63" s="53"/>
      <c r="AI63" s="10"/>
      <c r="AJ63" s="172"/>
      <c r="AK63" s="18"/>
      <c r="AL63" s="18"/>
      <c r="AM63" s="167"/>
      <c r="AN63" s="18"/>
      <c r="AO63" s="19"/>
      <c r="AP63" s="18"/>
      <c r="AQ63" s="18"/>
      <c r="AR63" s="166"/>
      <c r="AS63" s="135"/>
    </row>
    <row r="64" spans="2:45" ht="12.75" customHeight="1" x14ac:dyDescent="0.4">
      <c r="B64" s="260"/>
      <c r="D64" s="6" t="s">
        <v>78</v>
      </c>
      <c r="E64" s="6"/>
      <c r="F64" s="119">
        <f>VLOOKUP(Car_2,details_of_models,11,0)</f>
        <v>0</v>
      </c>
      <c r="G64" s="6" t="s">
        <v>79</v>
      </c>
      <c r="H64" s="11"/>
      <c r="I64" s="6" t="s">
        <v>50</v>
      </c>
      <c r="J64" s="6"/>
      <c r="K64" s="46">
        <f>K63*K4</f>
        <v>0</v>
      </c>
      <c r="L64" s="6" t="s">
        <v>51</v>
      </c>
      <c r="N64" s="92">
        <f t="shared" si="30"/>
        <v>15</v>
      </c>
      <c r="O64" s="30"/>
      <c r="P64" s="31">
        <f t="shared" si="22"/>
        <v>0</v>
      </c>
      <c r="Q64" s="31">
        <v>0</v>
      </c>
      <c r="R64" s="31">
        <f t="shared" si="31"/>
        <v>-414.79134395644456</v>
      </c>
      <c r="S64" s="31">
        <f t="shared" si="18"/>
        <v>0</v>
      </c>
      <c r="T64" s="32">
        <f t="shared" si="23"/>
        <v>41.39854504991478</v>
      </c>
      <c r="U64" s="31">
        <f t="shared" si="19"/>
        <v>-793.47211345670007</v>
      </c>
      <c r="V64" s="33">
        <f t="shared" si="24"/>
        <v>-1208.2634574131446</v>
      </c>
      <c r="W64" s="34">
        <f t="shared" si="32"/>
        <v>-897.75754656482241</v>
      </c>
      <c r="X64" s="35">
        <f t="shared" si="33"/>
        <v>44335.475144251221</v>
      </c>
      <c r="Y64" s="187">
        <f t="shared" si="17"/>
        <v>0.74301472998851925</v>
      </c>
      <c r="Z64" s="188" t="str">
        <f t="shared" si="20"/>
        <v/>
      </c>
      <c r="AA64" s="189" t="str">
        <f t="shared" si="27"/>
        <v/>
      </c>
      <c r="AB64" s="110">
        <f t="shared" si="28"/>
        <v>0</v>
      </c>
      <c r="AF64" s="53"/>
      <c r="AI64" s="10"/>
      <c r="AJ64" s="172"/>
      <c r="AK64" s="18"/>
      <c r="AL64" s="18"/>
      <c r="AM64" s="167"/>
      <c r="AN64" s="18"/>
      <c r="AO64" s="19"/>
      <c r="AP64" s="18"/>
      <c r="AQ64" s="18"/>
      <c r="AR64" s="166"/>
      <c r="AS64" s="135"/>
    </row>
    <row r="65" spans="2:59" ht="12.75" customHeight="1" x14ac:dyDescent="0.3">
      <c r="B65" s="260"/>
      <c r="I65" s="6" t="s">
        <v>50</v>
      </c>
      <c r="J65" s="6"/>
      <c r="K65" s="45">
        <f>K64/K47*100</f>
        <v>0</v>
      </c>
      <c r="L65" s="6" t="s">
        <v>80</v>
      </c>
      <c r="N65" s="93">
        <f t="shared" si="30"/>
        <v>16</v>
      </c>
      <c r="O65" s="39"/>
      <c r="P65" s="249">
        <f t="shared" si="22"/>
        <v>0</v>
      </c>
      <c r="Q65" s="40">
        <v>0</v>
      </c>
      <c r="R65" s="40">
        <f t="shared" si="31"/>
        <v>-423.08717083557349</v>
      </c>
      <c r="S65" s="40">
        <f t="shared" si="18"/>
        <v>0</v>
      </c>
      <c r="T65" s="41">
        <f t="shared" si="23"/>
        <v>42.681899946462138</v>
      </c>
      <c r="U65" s="40">
        <f t="shared" si="19"/>
        <v>-818.0697489738576</v>
      </c>
      <c r="V65" s="42">
        <f t="shared" si="24"/>
        <v>-1241.1569198094312</v>
      </c>
      <c r="W65" s="43">
        <f t="shared" si="32"/>
        <v>-904.11556239763399</v>
      </c>
      <c r="X65" s="44">
        <f t="shared" si="33"/>
        <v>45239.590706648858</v>
      </c>
      <c r="Y65" s="190">
        <f t="shared" si="17"/>
        <v>0.72844581371423445</v>
      </c>
      <c r="Z65" s="191" t="str">
        <f t="shared" si="20"/>
        <v/>
      </c>
      <c r="AA65" s="192" t="str">
        <f t="shared" si="27"/>
        <v/>
      </c>
      <c r="AB65" s="111">
        <f t="shared" si="28"/>
        <v>0</v>
      </c>
      <c r="AF65" s="175"/>
      <c r="AI65" s="10"/>
      <c r="AJ65" s="172"/>
      <c r="AK65" s="18"/>
      <c r="AL65" s="18"/>
      <c r="AM65" s="167"/>
      <c r="AN65" s="18"/>
      <c r="AO65" s="19"/>
      <c r="AP65" s="18"/>
      <c r="AQ65" s="18"/>
      <c r="AR65" s="166"/>
      <c r="AS65" s="135"/>
    </row>
    <row r="66" spans="2:59" ht="12.75" customHeight="1" x14ac:dyDescent="0.3">
      <c r="B66" s="260"/>
      <c r="D66" s="11" t="s">
        <v>81</v>
      </c>
      <c r="I66" s="1" t="s">
        <v>82</v>
      </c>
      <c r="J66" s="1"/>
      <c r="K66" s="62">
        <f>IF(F63=0,0,K61/F63)</f>
        <v>0</v>
      </c>
      <c r="L66" s="1" t="s">
        <v>83</v>
      </c>
      <c r="N66" s="93">
        <f t="shared" si="30"/>
        <v>17</v>
      </c>
      <c r="O66" s="39"/>
      <c r="P66" s="249">
        <f t="shared" si="22"/>
        <v>0</v>
      </c>
      <c r="Q66" s="40">
        <v>0</v>
      </c>
      <c r="R66" s="40">
        <f t="shared" si="31"/>
        <v>-431.54891425228499</v>
      </c>
      <c r="S66" s="40">
        <f t="shared" si="18"/>
        <v>0</v>
      </c>
      <c r="T66" s="41">
        <f t="shared" si="23"/>
        <v>44.005038844802463</v>
      </c>
      <c r="U66" s="40">
        <f t="shared" si="19"/>
        <v>-843.42991119204726</v>
      </c>
      <c r="V66" s="42">
        <f t="shared" si="24"/>
        <v>-1274.9788254443322</v>
      </c>
      <c r="W66" s="43">
        <f t="shared" si="32"/>
        <v>-910.5421450678582</v>
      </c>
      <c r="X66" s="44">
        <f t="shared" si="33"/>
        <v>46150.132851716713</v>
      </c>
      <c r="Y66" s="190">
        <f t="shared" si="17"/>
        <v>0.7141625624649357</v>
      </c>
      <c r="Z66" s="191" t="str">
        <f t="shared" si="20"/>
        <v/>
      </c>
      <c r="AA66" s="192" t="str">
        <f t="shared" si="27"/>
        <v/>
      </c>
      <c r="AB66" s="111">
        <f t="shared" si="28"/>
        <v>0</v>
      </c>
      <c r="AF66" s="175"/>
      <c r="AI66" s="59"/>
      <c r="AJ66" s="174"/>
      <c r="AK66" s="169"/>
      <c r="AL66" s="169"/>
      <c r="AM66" s="170"/>
      <c r="AN66" s="169"/>
      <c r="AO66" s="171"/>
      <c r="AP66" s="169"/>
      <c r="AQ66" s="169"/>
      <c r="AR66" s="166"/>
      <c r="AS66" s="136"/>
    </row>
    <row r="67" spans="2:59" ht="12.75" customHeight="1" x14ac:dyDescent="0.3">
      <c r="B67" s="260"/>
      <c r="D67" s="6" t="s">
        <v>84</v>
      </c>
      <c r="E67" s="6"/>
      <c r="F67" s="120">
        <f>VLOOKUP(Car_2,details_of_models,8,0)</f>
        <v>11.5</v>
      </c>
      <c r="G67" s="6" t="s">
        <v>80</v>
      </c>
      <c r="I67" s="6" t="s">
        <v>85</v>
      </c>
      <c r="J67" s="6"/>
      <c r="K67" s="205">
        <f>IF($F$52=$D$136,0,IF($F$52=$D$137,P4*F63,IF($F$52=$D$138,P5*F63,P6*F63)))</f>
        <v>0</v>
      </c>
      <c r="L67" s="6" t="s">
        <v>86</v>
      </c>
      <c r="N67" s="93">
        <f t="shared" si="30"/>
        <v>18</v>
      </c>
      <c r="O67" s="39"/>
      <c r="P67" s="249">
        <f t="shared" si="22"/>
        <v>0</v>
      </c>
      <c r="Q67" s="40">
        <v>0</v>
      </c>
      <c r="R67" s="40">
        <f t="shared" si="31"/>
        <v>-440.17989253733072</v>
      </c>
      <c r="S67" s="40">
        <f t="shared" si="18"/>
        <v>0</v>
      </c>
      <c r="T67" s="41">
        <f t="shared" si="23"/>
        <v>45.369195048991337</v>
      </c>
      <c r="U67" s="40">
        <f t="shared" si="19"/>
        <v>-869.57623843900058</v>
      </c>
      <c r="V67" s="42">
        <f t="shared" si="24"/>
        <v>-1309.7561309763314</v>
      </c>
      <c r="W67" s="43">
        <f t="shared" si="32"/>
        <v>-917.0380340217813</v>
      </c>
      <c r="X67" s="44">
        <f t="shared" si="33"/>
        <v>47067.170885738495</v>
      </c>
      <c r="Y67" s="190">
        <f t="shared" si="17"/>
        <v>0.7001593749656233</v>
      </c>
      <c r="Z67" s="191" t="str">
        <f t="shared" si="20"/>
        <v/>
      </c>
      <c r="AA67" s="192" t="str">
        <f t="shared" si="27"/>
        <v/>
      </c>
      <c r="AB67" s="111">
        <f t="shared" si="28"/>
        <v>0</v>
      </c>
      <c r="AD67" s="11"/>
      <c r="AE67" s="11"/>
      <c r="AF67" s="176"/>
      <c r="AG67" s="11"/>
      <c r="AI67" s="10"/>
      <c r="AJ67" s="18"/>
      <c r="AK67" s="21"/>
      <c r="AL67" s="21"/>
      <c r="AM67" s="21"/>
      <c r="AN67" s="21"/>
      <c r="AO67" s="21"/>
      <c r="AP67" s="21"/>
      <c r="AQ67" s="21"/>
      <c r="AR67" s="36"/>
      <c r="AS67" s="61"/>
    </row>
    <row r="68" spans="2:59" ht="12.75" customHeight="1" x14ac:dyDescent="0.3">
      <c r="B68" s="260"/>
      <c r="D68" s="9" t="s">
        <v>87</v>
      </c>
      <c r="E68" s="9"/>
      <c r="F68" s="132">
        <f>VLOOKUP(Car_2,details_of_models,16,0)</f>
        <v>28</v>
      </c>
      <c r="G68" s="9" t="s">
        <v>88</v>
      </c>
      <c r="I68" s="202" t="s">
        <v>78</v>
      </c>
      <c r="J68" s="202"/>
      <c r="K68" s="203">
        <f>K47*F64/1000</f>
        <v>0</v>
      </c>
      <c r="L68" s="202" t="s">
        <v>89</v>
      </c>
      <c r="N68" s="93">
        <f t="shared" si="30"/>
        <v>19</v>
      </c>
      <c r="O68" s="39"/>
      <c r="P68" s="249">
        <f t="shared" si="22"/>
        <v>0</v>
      </c>
      <c r="Q68" s="40">
        <v>0</v>
      </c>
      <c r="R68" s="40">
        <f t="shared" si="31"/>
        <v>-448.98349038807731</v>
      </c>
      <c r="S68" s="40">
        <f t="shared" si="18"/>
        <v>0</v>
      </c>
      <c r="T68" s="41">
        <f t="shared" si="23"/>
        <v>46.775640095510063</v>
      </c>
      <c r="U68" s="40">
        <f t="shared" si="19"/>
        <v>-896.53310183060955</v>
      </c>
      <c r="V68" s="42">
        <f t="shared" si="24"/>
        <v>-1345.5165922186868</v>
      </c>
      <c r="W68" s="43">
        <f t="shared" si="32"/>
        <v>-923.6039766801091</v>
      </c>
      <c r="X68" s="44">
        <f t="shared" si="33"/>
        <v>47990.774862418606</v>
      </c>
      <c r="Y68" s="190">
        <f t="shared" si="17"/>
        <v>0.68643075977021895</v>
      </c>
      <c r="Z68" s="191" t="str">
        <f t="shared" si="20"/>
        <v/>
      </c>
      <c r="AA68" s="192" t="str">
        <f t="shared" si="27"/>
        <v/>
      </c>
      <c r="AB68" s="111">
        <f t="shared" si="28"/>
        <v>0</v>
      </c>
      <c r="AD68" s="51"/>
      <c r="AE68" s="51"/>
      <c r="AF68" s="177"/>
      <c r="AJ68" s="18"/>
      <c r="AK68" s="21"/>
      <c r="AL68" s="21"/>
      <c r="AM68" s="21"/>
      <c r="AN68" s="21"/>
      <c r="AO68" s="21"/>
      <c r="AP68" s="21"/>
      <c r="AQ68" s="21"/>
      <c r="AR68" s="36"/>
      <c r="AS68" s="61"/>
    </row>
    <row r="69" spans="2:59" ht="12.75" customHeight="1" thickBot="1" x14ac:dyDescent="0.45">
      <c r="B69" s="260"/>
      <c r="D69" s="6" t="s">
        <v>90</v>
      </c>
      <c r="E69" s="6"/>
      <c r="F69" s="121">
        <f>VLOOKUP(Car_2,details_of_models,17,0)</f>
        <v>0</v>
      </c>
      <c r="G69" s="6" t="s">
        <v>91</v>
      </c>
      <c r="N69" s="94">
        <f t="shared" si="30"/>
        <v>20</v>
      </c>
      <c r="O69" s="48"/>
      <c r="P69" s="250">
        <f t="shared" si="22"/>
        <v>0</v>
      </c>
      <c r="Q69" s="95">
        <v>0</v>
      </c>
      <c r="R69" s="95">
        <f t="shared" si="31"/>
        <v>-457.9631601958389</v>
      </c>
      <c r="S69" s="95">
        <f t="shared" si="18"/>
        <v>0</v>
      </c>
      <c r="T69" s="96">
        <f t="shared" si="23"/>
        <v>48.22568493847087</v>
      </c>
      <c r="U69" s="95">
        <f t="shared" si="19"/>
        <v>-924.3256279873583</v>
      </c>
      <c r="V69" s="97">
        <f t="shared" si="24"/>
        <v>-1382.2887881831971</v>
      </c>
      <c r="W69" s="98">
        <f t="shared" si="32"/>
        <v>-930.24072852396785</v>
      </c>
      <c r="X69" s="99">
        <f t="shared" si="33"/>
        <v>48921.015590942574</v>
      </c>
      <c r="Y69" s="193">
        <f t="shared" si="17"/>
        <v>0.67297133310805779</v>
      </c>
      <c r="Z69" s="194" t="str">
        <f t="shared" si="20"/>
        <v/>
      </c>
      <c r="AA69" s="195" t="str">
        <f t="shared" si="27"/>
        <v/>
      </c>
      <c r="AB69" s="112">
        <f t="shared" si="28"/>
        <v>0</v>
      </c>
      <c r="AD69" s="178"/>
      <c r="AE69" s="178"/>
      <c r="AF69" s="179"/>
      <c r="AG69" s="11"/>
      <c r="AH69" s="65"/>
      <c r="AI69" s="271"/>
      <c r="AJ69" s="271"/>
      <c r="AK69" s="271"/>
      <c r="AL69" s="271"/>
      <c r="AM69" s="271"/>
      <c r="AN69" s="271"/>
      <c r="AO69" s="66"/>
      <c r="AP69" s="65"/>
    </row>
    <row r="70" spans="2:59" ht="12.75" customHeight="1" x14ac:dyDescent="0.4">
      <c r="B70" s="260"/>
      <c r="D70" s="3" t="s">
        <v>92</v>
      </c>
      <c r="E70" s="3"/>
      <c r="F70" s="130">
        <f>VLOOKUP(Car_2,details_of_models,20,0)*12</f>
        <v>0</v>
      </c>
      <c r="G70" s="3" t="s">
        <v>46</v>
      </c>
      <c r="I70" s="11" t="s">
        <v>81</v>
      </c>
      <c r="J70" s="18"/>
      <c r="K70" s="21"/>
      <c r="L70" s="21"/>
      <c r="AD70" s="51"/>
      <c r="AE70" s="51"/>
      <c r="AF70" s="36"/>
      <c r="AH70" s="65"/>
      <c r="AI70" s="272"/>
      <c r="AJ70" s="272"/>
      <c r="AK70" s="272"/>
      <c r="AL70" s="272"/>
      <c r="AM70" s="272"/>
      <c r="AN70" s="272"/>
      <c r="AO70" s="66"/>
      <c r="AP70" s="65"/>
    </row>
    <row r="71" spans="2:59" ht="12.75" customHeight="1" x14ac:dyDescent="0.4">
      <c r="B71" s="260"/>
      <c r="D71" s="6" t="s">
        <v>93</v>
      </c>
      <c r="E71" s="6"/>
      <c r="F71" s="130">
        <f>VLOOKUP(Car_2,details_of_models,15,0)</f>
        <v>0</v>
      </c>
      <c r="G71" s="6" t="s">
        <v>47</v>
      </c>
      <c r="I71" s="6" t="s">
        <v>94</v>
      </c>
      <c r="J71" s="6"/>
      <c r="K71" s="7">
        <f>K4*F69/100</f>
        <v>0</v>
      </c>
      <c r="L71" s="137" t="s">
        <v>95</v>
      </c>
      <c r="AD71" s="178"/>
      <c r="AE71" s="178"/>
      <c r="AF71" s="179"/>
      <c r="AG71" s="11"/>
      <c r="AH71" s="65"/>
      <c r="AI71" s="67"/>
      <c r="AJ71" s="68"/>
      <c r="AK71" s="68"/>
      <c r="AL71" s="68"/>
      <c r="AM71" s="68"/>
      <c r="AN71" s="68"/>
      <c r="AO71" s="66"/>
      <c r="AP71" s="65"/>
    </row>
    <row r="72" spans="2:59" ht="12.75" customHeight="1" x14ac:dyDescent="0.4">
      <c r="B72" s="260"/>
      <c r="I72" s="6" t="s">
        <v>96</v>
      </c>
      <c r="J72" s="6"/>
      <c r="K72" s="38">
        <f>IF(F67=0,0,F68/F67*100)</f>
        <v>243.47826086956525</v>
      </c>
      <c r="L72" s="6" t="s">
        <v>6</v>
      </c>
      <c r="AC72" s="51"/>
      <c r="AD72" s="51"/>
      <c r="AE72" s="36"/>
      <c r="AG72" s="65"/>
      <c r="AH72" s="69"/>
      <c r="AI72" s="70"/>
      <c r="AJ72" s="71"/>
      <c r="AK72" s="71"/>
      <c r="AL72" s="71"/>
      <c r="AM72" s="71"/>
      <c r="AN72" s="66"/>
      <c r="AO72" s="65"/>
    </row>
    <row r="73" spans="2:59" ht="12.75" customHeight="1" x14ac:dyDescent="0.4">
      <c r="B73" s="260"/>
      <c r="I73" s="6" t="s">
        <v>97</v>
      </c>
      <c r="J73" s="6"/>
      <c r="K73" s="45">
        <f>IF(F68=0,0,(K75/100*F67)/F68)</f>
        <v>7.8720238095238102</v>
      </c>
      <c r="L73" s="6" t="s">
        <v>98</v>
      </c>
      <c r="N73" s="10"/>
      <c r="O73" s="18"/>
      <c r="P73" s="21"/>
      <c r="Q73" s="21"/>
      <c r="R73" s="21"/>
      <c r="S73" s="21"/>
      <c r="T73" s="21"/>
      <c r="U73" s="21"/>
      <c r="V73" s="21"/>
      <c r="W73" s="36"/>
      <c r="X73" s="61"/>
      <c r="Y73" s="58"/>
      <c r="AE73" s="36"/>
      <c r="AG73" s="65"/>
      <c r="AH73" s="69"/>
      <c r="AI73" s="70"/>
      <c r="AJ73" s="71"/>
      <c r="AK73" s="71"/>
      <c r="AL73" s="71"/>
      <c r="AM73" s="71"/>
      <c r="AN73" s="66"/>
      <c r="AO73" s="65"/>
    </row>
    <row r="74" spans="2:59" ht="12.75" customHeight="1" x14ac:dyDescent="0.4">
      <c r="B74" s="260"/>
      <c r="I74" s="6" t="s">
        <v>99</v>
      </c>
      <c r="J74" s="6"/>
      <c r="K74" s="45">
        <f>(K3/100*F67)/(1-F6)</f>
        <v>9.5833333333333339</v>
      </c>
      <c r="L74" s="6" t="s">
        <v>77</v>
      </c>
      <c r="U74" s="185"/>
      <c r="V74" s="51"/>
      <c r="X74" s="186"/>
      <c r="Y74" s="52"/>
      <c r="Z74" s="21"/>
      <c r="AE74" s="36"/>
      <c r="AG74" s="65"/>
      <c r="AH74" s="69"/>
      <c r="AI74" s="70"/>
      <c r="AJ74" s="71"/>
      <c r="AK74" s="71"/>
      <c r="AL74" s="71"/>
      <c r="AM74" s="71"/>
      <c r="AN74" s="66"/>
      <c r="AO74" s="65"/>
    </row>
    <row r="75" spans="2:59" ht="12.75" customHeight="1" x14ac:dyDescent="0.3">
      <c r="B75" s="260"/>
      <c r="I75" s="6" t="s">
        <v>50</v>
      </c>
      <c r="J75" s="6"/>
      <c r="K75" s="46">
        <f>K74*K4</f>
        <v>1916.6666666666667</v>
      </c>
      <c r="L75" s="6" t="s">
        <v>51</v>
      </c>
      <c r="R75" s="21"/>
      <c r="X75" s="54"/>
    </row>
    <row r="76" spans="2:59" ht="12.75" customHeight="1" x14ac:dyDescent="0.3">
      <c r="B76" s="260"/>
      <c r="I76" s="6" t="s">
        <v>100</v>
      </c>
      <c r="J76" s="6"/>
      <c r="K76" s="125">
        <f>F68/(1-F6)*P3/100</f>
        <v>8.4</v>
      </c>
      <c r="L76" s="6" t="s">
        <v>101</v>
      </c>
      <c r="N76" s="10"/>
      <c r="O76" s="10"/>
      <c r="X76" s="57"/>
      <c r="Y76" s="58"/>
    </row>
    <row r="77" spans="2:59" ht="12.75" customHeight="1" x14ac:dyDescent="0.3">
      <c r="B77" s="217"/>
      <c r="I77" s="6" t="s">
        <v>102</v>
      </c>
      <c r="J77" s="6"/>
      <c r="K77" s="46">
        <f>IF(F68=0,0,F71/F68)</f>
        <v>0</v>
      </c>
      <c r="L77" s="6" t="s">
        <v>103</v>
      </c>
      <c r="N77" s="10"/>
      <c r="O77" s="10"/>
      <c r="X77" s="57"/>
      <c r="Y77" s="58"/>
    </row>
    <row r="78" spans="2:59" ht="12.75" customHeight="1" x14ac:dyDescent="0.4">
      <c r="B78" s="217"/>
      <c r="D78" s="5" t="str">
        <f>CONCATENATE(F48," / ",E47," (",F52,")")</f>
        <v>Hyundai / Ioniq electric Premium (AT) (Electrical)</v>
      </c>
      <c r="I78" s="6" t="s">
        <v>78</v>
      </c>
      <c r="J78" s="6"/>
      <c r="K78" s="46">
        <f>K75*K5/1000</f>
        <v>0</v>
      </c>
      <c r="L78" s="6" t="s">
        <v>89</v>
      </c>
      <c r="N78" s="10"/>
      <c r="O78" s="10"/>
      <c r="X78" s="57"/>
      <c r="Y78" s="58"/>
    </row>
    <row r="79" spans="2:59" ht="14.6" x14ac:dyDescent="0.4">
      <c r="H79" s="65"/>
      <c r="I79" s="72"/>
      <c r="J79" s="90"/>
      <c r="K79" s="117"/>
      <c r="L79" s="117"/>
      <c r="M79" s="117"/>
      <c r="N79" s="88"/>
      <c r="O79" s="66"/>
      <c r="P79" s="65"/>
      <c r="AL79" s="118"/>
      <c r="AM79" s="10"/>
      <c r="AN79" s="10"/>
      <c r="BE79" s="118"/>
      <c r="BF79" s="118"/>
      <c r="BG79" s="118"/>
    </row>
    <row r="80" spans="2:59" ht="14.6" x14ac:dyDescent="0.4">
      <c r="H80" s="65"/>
      <c r="I80" s="72"/>
      <c r="J80" s="90"/>
      <c r="K80" s="117"/>
      <c r="L80" s="117"/>
      <c r="M80" s="117"/>
      <c r="N80" s="88"/>
      <c r="O80" s="66"/>
      <c r="P80" s="65"/>
      <c r="AL80" s="118"/>
      <c r="AM80" s="10"/>
      <c r="AN80" s="10"/>
      <c r="BE80" s="118"/>
      <c r="BF80" s="118"/>
      <c r="BG80" s="118"/>
    </row>
    <row r="81" spans="2:59" ht="4.5" customHeight="1" x14ac:dyDescent="0.3">
      <c r="B81" s="216"/>
      <c r="I81" s="1"/>
      <c r="J81" s="1"/>
      <c r="K81" s="175"/>
      <c r="N81" s="10"/>
      <c r="O81" s="10"/>
      <c r="X81" s="57"/>
      <c r="Y81" s="58"/>
    </row>
    <row r="82" spans="2:59" ht="4.5" customHeight="1" x14ac:dyDescent="0.3">
      <c r="B82" s="276" t="s">
        <v>107</v>
      </c>
      <c r="C82" s="11"/>
      <c r="D82" s="278"/>
      <c r="E82" s="278"/>
      <c r="F82" s="278"/>
      <c r="G82" s="278"/>
      <c r="H82" s="213"/>
      <c r="I82" s="138"/>
      <c r="J82" s="139"/>
      <c r="K82" s="140"/>
      <c r="L82" s="140"/>
      <c r="M82" s="213"/>
      <c r="N82" s="214"/>
      <c r="O82" s="214"/>
      <c r="P82" s="215"/>
      <c r="Q82" s="215"/>
      <c r="R82" s="215"/>
      <c r="S82" s="215"/>
      <c r="T82" s="215"/>
      <c r="U82" s="215"/>
      <c r="V82" s="215"/>
      <c r="AB82" s="10"/>
    </row>
    <row r="83" spans="2:59" ht="4.5" customHeight="1" x14ac:dyDescent="0.4">
      <c r="B83" s="277"/>
      <c r="H83" s="65"/>
      <c r="I83" s="72"/>
      <c r="J83" s="73"/>
      <c r="K83" s="73"/>
      <c r="L83" s="73"/>
      <c r="M83" s="73"/>
      <c r="N83" s="73"/>
      <c r="O83" s="66"/>
      <c r="P83" s="65"/>
    </row>
    <row r="84" spans="2:59" ht="58.5" customHeight="1" x14ac:dyDescent="0.3">
      <c r="B84" s="277"/>
      <c r="D84" s="280" t="s">
        <v>26</v>
      </c>
      <c r="E84" s="280"/>
      <c r="F84" s="280"/>
      <c r="G84" s="280"/>
      <c r="H84" s="280"/>
      <c r="I84" s="280"/>
      <c r="J84" s="280"/>
      <c r="K84" s="280"/>
      <c r="L84" s="280"/>
      <c r="M84" s="117"/>
      <c r="N84" s="279" t="s">
        <v>104</v>
      </c>
      <c r="O84" s="279"/>
      <c r="P84" s="279"/>
      <c r="Q84" s="279"/>
      <c r="R84" s="279"/>
      <c r="S84" s="279"/>
      <c r="T84" s="279"/>
      <c r="U84" s="279"/>
      <c r="V84" s="279"/>
      <c r="AL84" s="118"/>
      <c r="AM84" s="10"/>
      <c r="AN84" s="10"/>
      <c r="BE84" s="118"/>
      <c r="BF84" s="118"/>
      <c r="BG84" s="118"/>
    </row>
    <row r="85" spans="2:59" ht="14.6" x14ac:dyDescent="0.4">
      <c r="B85" s="277"/>
      <c r="H85" s="65"/>
      <c r="I85" s="72"/>
      <c r="J85" s="90"/>
      <c r="K85" s="117"/>
      <c r="L85" s="117"/>
      <c r="M85" s="117"/>
      <c r="N85" s="88"/>
      <c r="O85" s="66"/>
      <c r="P85" s="65"/>
      <c r="AL85" s="118"/>
      <c r="AM85" s="10"/>
      <c r="AN85" s="10"/>
      <c r="BE85" s="118"/>
      <c r="BF85" s="118"/>
      <c r="BG85" s="118"/>
    </row>
    <row r="86" spans="2:59" ht="14.6" x14ac:dyDescent="0.3">
      <c r="B86" s="277"/>
      <c r="D86" s="3" t="str">
        <f>D12</f>
        <v>Company</v>
      </c>
      <c r="E86" s="3"/>
      <c r="F86" s="263" t="str">
        <f>F12</f>
        <v>Hyundai</v>
      </c>
      <c r="G86" s="263"/>
      <c r="H86" s="65"/>
      <c r="I86" s="64" t="str">
        <f>I11</f>
        <v>Total distance</v>
      </c>
      <c r="J86" s="64"/>
      <c r="K86" s="154">
        <f t="shared" ref="K86:L88" si="34">K11</f>
        <v>15000</v>
      </c>
      <c r="L86" s="3" t="str">
        <f t="shared" si="34"/>
        <v>km/Year</v>
      </c>
      <c r="M86" s="117"/>
      <c r="N86" s="3" t="str">
        <f>D48</f>
        <v>Company</v>
      </c>
      <c r="O86" s="3"/>
      <c r="P86" s="263" t="str">
        <f>VLOOKUP($E$47,$B$146:$Y$199,3,0)</f>
        <v>Hyundai</v>
      </c>
      <c r="Q86" s="263"/>
      <c r="S86" s="64" t="str">
        <f>I47</f>
        <v>Total distance</v>
      </c>
      <c r="T86" s="64"/>
      <c r="U86" s="154">
        <f t="shared" ref="U86:V88" si="35">K47</f>
        <v>15000</v>
      </c>
      <c r="V86" s="3" t="str">
        <f t="shared" si="35"/>
        <v>km/Year</v>
      </c>
      <c r="AL86" s="118"/>
      <c r="AM86" s="10"/>
      <c r="AN86" s="10"/>
      <c r="BE86" s="118"/>
      <c r="BF86" s="118"/>
      <c r="BG86" s="118"/>
    </row>
    <row r="87" spans="2:59" ht="14.6" x14ac:dyDescent="0.4">
      <c r="B87" s="277"/>
      <c r="D87" s="3" t="s">
        <v>31</v>
      </c>
      <c r="E87" s="264" t="str">
        <f>E11</f>
        <v>i30 Fastback 1.4T - GDI - Level 4</v>
      </c>
      <c r="F87" s="266"/>
      <c r="G87" s="266"/>
      <c r="H87" s="65"/>
      <c r="I87" s="47" t="str">
        <f>I12</f>
        <v>Petrol costs</v>
      </c>
      <c r="J87" s="47"/>
      <c r="K87" s="63">
        <f t="shared" si="34"/>
        <v>1442.55</v>
      </c>
      <c r="L87" s="47" t="str">
        <f t="shared" si="34"/>
        <v>Euro/Year</v>
      </c>
      <c r="M87" s="117"/>
      <c r="N87" s="3" t="s">
        <v>31</v>
      </c>
      <c r="O87" s="264" t="str">
        <f>E47</f>
        <v>Ioniq electric Premium (AT)</v>
      </c>
      <c r="P87" s="266"/>
      <c r="Q87" s="266"/>
      <c r="S87" s="47" t="str">
        <f>I48</f>
        <v>Electricity costs</v>
      </c>
      <c r="T87" s="47"/>
      <c r="U87" s="63">
        <f t="shared" si="35"/>
        <v>517.5</v>
      </c>
      <c r="V87" s="47" t="str">
        <f t="shared" si="35"/>
        <v>Euro/Year</v>
      </c>
      <c r="AL87" s="118"/>
      <c r="AM87" s="10"/>
      <c r="AN87" s="10"/>
      <c r="BE87" s="118"/>
      <c r="BF87" s="118"/>
      <c r="BG87" s="118"/>
    </row>
    <row r="88" spans="2:59" ht="14.6" x14ac:dyDescent="0.3">
      <c r="B88" s="277"/>
      <c r="D88" s="6" t="str">
        <f>D13</f>
        <v>Vehicle type</v>
      </c>
      <c r="E88" s="6"/>
      <c r="F88" s="264" t="str">
        <f>F13</f>
        <v>Car</v>
      </c>
      <c r="G88" s="264"/>
      <c r="H88" s="65"/>
      <c r="I88" s="6" t="str">
        <f>I13</f>
        <v>Energy demand</v>
      </c>
      <c r="J88" s="6"/>
      <c r="K88" s="46">
        <f t="shared" si="34"/>
        <v>8673</v>
      </c>
      <c r="L88" s="6" t="str">
        <f t="shared" si="34"/>
        <v>kWh/Year</v>
      </c>
      <c r="M88" s="117"/>
      <c r="N88" s="6" t="str">
        <f>D49</f>
        <v>Vehicle type</v>
      </c>
      <c r="O88" s="6"/>
      <c r="P88" s="264" t="str">
        <f>VLOOKUP($E$47,$B$146:$Y$199,4,0)</f>
        <v>Car</v>
      </c>
      <c r="Q88" s="264"/>
      <c r="S88" s="6" t="str">
        <f>I49</f>
        <v>Energy demand</v>
      </c>
      <c r="T88" s="6"/>
      <c r="U88" s="46">
        <f t="shared" si="35"/>
        <v>1916.6666666666667</v>
      </c>
      <c r="V88" s="6" t="str">
        <f t="shared" si="35"/>
        <v>kWh/Year</v>
      </c>
      <c r="AL88" s="118"/>
      <c r="AM88" s="10"/>
      <c r="AN88" s="10"/>
      <c r="BE88" s="118"/>
      <c r="BF88" s="118"/>
      <c r="BG88" s="118"/>
    </row>
    <row r="89" spans="2:59" ht="14.6" x14ac:dyDescent="0.3">
      <c r="B89" s="277"/>
      <c r="D89" s="3"/>
      <c r="E89" s="3"/>
      <c r="F89" s="248"/>
      <c r="G89" s="248"/>
      <c r="H89" s="65"/>
      <c r="I89" s="47" t="s">
        <v>37</v>
      </c>
      <c r="J89" s="47"/>
      <c r="K89" s="63">
        <f>K14</f>
        <v>0</v>
      </c>
      <c r="L89" s="47" t="str">
        <f t="shared" ref="L89" si="36">L16</f>
        <v>Euro</v>
      </c>
      <c r="M89" s="117"/>
      <c r="N89" s="3"/>
      <c r="O89" s="6"/>
      <c r="P89" s="248"/>
      <c r="Q89" s="248"/>
      <c r="S89" s="47" t="s">
        <v>37</v>
      </c>
      <c r="T89" s="47"/>
      <c r="U89" s="63">
        <f>K50</f>
        <v>0</v>
      </c>
      <c r="V89" s="152" t="str">
        <f>L52</f>
        <v>Euro</v>
      </c>
      <c r="AL89" s="118"/>
      <c r="AM89" s="10"/>
      <c r="AN89" s="10"/>
      <c r="BE89" s="118"/>
      <c r="BF89" s="118"/>
      <c r="BG89" s="118"/>
    </row>
    <row r="90" spans="2:59" ht="14.6" x14ac:dyDescent="0.3">
      <c r="B90" s="277"/>
      <c r="D90" s="3"/>
      <c r="E90" s="3"/>
      <c r="F90" s="248"/>
      <c r="G90" s="248"/>
      <c r="H90" s="65"/>
      <c r="I90" s="3"/>
      <c r="J90" s="3"/>
      <c r="K90" s="154"/>
      <c r="L90" s="3"/>
      <c r="M90" s="117"/>
      <c r="N90" s="3"/>
      <c r="O90" s="6"/>
      <c r="P90" s="248"/>
      <c r="Q90" s="248"/>
      <c r="S90" s="3"/>
      <c r="T90" s="3"/>
      <c r="U90" s="154"/>
      <c r="V90" s="3"/>
      <c r="AL90" s="118"/>
      <c r="AM90" s="10"/>
      <c r="AN90" s="10"/>
      <c r="BE90" s="118"/>
      <c r="BF90" s="118"/>
      <c r="BG90" s="118"/>
    </row>
    <row r="91" spans="2:59" ht="14.6" x14ac:dyDescent="0.3">
      <c r="B91" s="277"/>
      <c r="D91" s="3" t="str">
        <f>D16</f>
        <v>Fuel type</v>
      </c>
      <c r="E91" s="3"/>
      <c r="F91" s="264" t="str">
        <f>F16</f>
        <v>Petrol</v>
      </c>
      <c r="G91" s="264"/>
      <c r="H91" s="65"/>
      <c r="I91" s="151" t="str">
        <f>I16</f>
        <v>NPV</v>
      </c>
      <c r="J91" s="151"/>
      <c r="K91" s="237">
        <f t="shared" ref="K91:L93" si="37">K16</f>
        <v>56676.402095025333</v>
      </c>
      <c r="L91" s="152" t="str">
        <f t="shared" si="37"/>
        <v>Euro</v>
      </c>
      <c r="M91" s="117"/>
      <c r="N91" s="3" t="str">
        <f>D52</f>
        <v>Fuel type</v>
      </c>
      <c r="O91" s="6"/>
      <c r="P91" s="264" t="str">
        <f>VLOOKUP($E$47,$B$146:$Y$199,5,0)</f>
        <v>Electrical</v>
      </c>
      <c r="Q91" s="264"/>
      <c r="S91" s="151" t="str">
        <f>I52</f>
        <v>NPV</v>
      </c>
      <c r="T91" s="151"/>
      <c r="U91" s="237">
        <f t="shared" ref="U91:V93" si="38">K52</f>
        <v>39908.921674173631</v>
      </c>
      <c r="V91" s="152" t="str">
        <f t="shared" si="38"/>
        <v>Euro</v>
      </c>
      <c r="AL91" s="118"/>
      <c r="AM91" s="10"/>
      <c r="AN91" s="10"/>
      <c r="BE91" s="118"/>
      <c r="BF91" s="118"/>
      <c r="BG91" s="118"/>
    </row>
    <row r="92" spans="2:59" ht="14.6" x14ac:dyDescent="0.3">
      <c r="B92" s="277"/>
      <c r="D92" s="6" t="str">
        <f>D17</f>
        <v>Power</v>
      </c>
      <c r="E92" s="6"/>
      <c r="F92" s="122">
        <f>F17</f>
        <v>103</v>
      </c>
      <c r="G92" s="6" t="str">
        <f>G17</f>
        <v>kW</v>
      </c>
      <c r="H92" s="65"/>
      <c r="I92" s="49" t="str">
        <f>I17</f>
        <v>Annuity</v>
      </c>
      <c r="J92" s="49"/>
      <c r="K92" s="46">
        <f t="shared" si="37"/>
        <v>6309.5870571377181</v>
      </c>
      <c r="L92" s="6" t="str">
        <f t="shared" si="37"/>
        <v>Euro/Year</v>
      </c>
      <c r="M92" s="117"/>
      <c r="N92" s="6" t="str">
        <f>D53</f>
        <v>Power</v>
      </c>
      <c r="O92" s="6"/>
      <c r="P92" s="6">
        <f>F53</f>
        <v>88</v>
      </c>
      <c r="Q92" s="6" t="str">
        <f>G53</f>
        <v>kW</v>
      </c>
      <c r="S92" s="49" t="str">
        <f>I53</f>
        <v>Annuity</v>
      </c>
      <c r="T92" s="49"/>
      <c r="U92" s="46">
        <f t="shared" si="38"/>
        <v>4442.9216808346227</v>
      </c>
      <c r="V92" s="6" t="str">
        <f t="shared" si="38"/>
        <v>Euro/Year</v>
      </c>
      <c r="AL92" s="118"/>
      <c r="AM92" s="10"/>
      <c r="AN92" s="10"/>
      <c r="BE92" s="118"/>
      <c r="BF92" s="118"/>
      <c r="BG92" s="118"/>
    </row>
    <row r="93" spans="2:59" ht="14.6" x14ac:dyDescent="0.3">
      <c r="B93" s="277"/>
      <c r="D93" s="6" t="str">
        <f>D31</f>
        <v>Average energy consumption</v>
      </c>
      <c r="E93" s="6"/>
      <c r="F93" s="120">
        <f>F31</f>
        <v>0</v>
      </c>
      <c r="G93" s="6" t="str">
        <f>G31</f>
        <v>kWh/100km</v>
      </c>
      <c r="H93" s="65"/>
      <c r="I93" s="55" t="str">
        <f>I18</f>
        <v>LRMC</v>
      </c>
      <c r="J93" s="55"/>
      <c r="K93" s="238">
        <f t="shared" si="37"/>
        <v>42.063913714251456</v>
      </c>
      <c r="L93" s="56" t="str">
        <f t="shared" si="37"/>
        <v>Cent/km</v>
      </c>
      <c r="M93" s="117"/>
      <c r="N93" s="6" t="str">
        <f>D61</f>
        <v>Average fuel consumption</v>
      </c>
      <c r="O93" s="6"/>
      <c r="P93" s="6">
        <f>F61</f>
        <v>0</v>
      </c>
      <c r="Q93" s="6" t="str">
        <f>G61</f>
        <v>L/100km</v>
      </c>
      <c r="S93" s="55" t="str">
        <f>I54</f>
        <v>LRMC</v>
      </c>
      <c r="T93" s="55"/>
      <c r="U93" s="238">
        <f t="shared" si="38"/>
        <v>29.619477872230821</v>
      </c>
      <c r="V93" s="56" t="str">
        <f t="shared" si="38"/>
        <v>Cent/km</v>
      </c>
      <c r="AL93" s="118"/>
      <c r="AM93" s="10"/>
      <c r="AN93" s="10"/>
      <c r="BE93" s="118"/>
      <c r="BF93" s="118"/>
      <c r="BG93" s="118"/>
    </row>
    <row r="94" spans="2:59" ht="14.6" x14ac:dyDescent="0.3">
      <c r="B94" s="277"/>
      <c r="D94" s="6" t="str">
        <f>D28</f>
        <v>CO2 Emissions</v>
      </c>
      <c r="E94" s="6"/>
      <c r="F94" s="6">
        <f>F28</f>
        <v>134</v>
      </c>
      <c r="G94" s="6" t="str">
        <f>G28</f>
        <v>g CO2/km</v>
      </c>
      <c r="H94" s="65"/>
      <c r="I94" s="49" t="str">
        <f>I20</f>
        <v>Capital Recovery Factor</v>
      </c>
      <c r="J94" s="49"/>
      <c r="K94" s="265">
        <f>K20</f>
        <v>0.11132652786531647</v>
      </c>
      <c r="L94" s="265">
        <f>L20</f>
        <v>0</v>
      </c>
      <c r="M94" s="117"/>
      <c r="N94" s="6" t="str">
        <f>D64</f>
        <v>CO2 Emissions</v>
      </c>
      <c r="O94" s="6"/>
      <c r="P94" s="6">
        <f>F64</f>
        <v>0</v>
      </c>
      <c r="Q94" s="6" t="str">
        <f>G64</f>
        <v>g CO2/km</v>
      </c>
      <c r="S94" s="49" t="str">
        <f>I56</f>
        <v>Capital Recovery Factor</v>
      </c>
      <c r="T94" s="49"/>
      <c r="U94" s="265">
        <f>K56</f>
        <v>0.11132652786531647</v>
      </c>
      <c r="V94" s="265">
        <f>L56</f>
        <v>0</v>
      </c>
      <c r="AL94" s="118"/>
      <c r="AM94" s="10"/>
      <c r="AN94" s="10"/>
      <c r="BE94" s="118"/>
      <c r="BF94" s="118"/>
      <c r="BG94" s="118"/>
    </row>
    <row r="95" spans="2:59" ht="14.6" x14ac:dyDescent="0.3">
      <c r="B95" s="277"/>
      <c r="D95" s="6" t="str">
        <f>D18</f>
        <v>Price</v>
      </c>
      <c r="E95" s="6"/>
      <c r="F95" s="119">
        <f>F18</f>
        <v>27490</v>
      </c>
      <c r="G95" s="6" t="str">
        <f>G18</f>
        <v>Euro</v>
      </c>
      <c r="H95" s="65"/>
      <c r="I95" s="47" t="str">
        <f>I21</f>
        <v>Total CO2 Emissions</v>
      </c>
      <c r="J95" s="153"/>
      <c r="K95" s="200">
        <f>K21</f>
        <v>20.099999999999998</v>
      </c>
      <c r="L95" s="47" t="str">
        <f>L21</f>
        <v>t CO2/LT</v>
      </c>
      <c r="M95" s="117"/>
      <c r="N95" s="6" t="str">
        <f>D54</f>
        <v>Price</v>
      </c>
      <c r="O95" s="6"/>
      <c r="P95" s="46">
        <f>F54</f>
        <v>31500</v>
      </c>
      <c r="Q95" s="6" t="str">
        <f>G54</f>
        <v>Euro</v>
      </c>
      <c r="S95" s="47" t="str">
        <f>I57</f>
        <v>Total CO2 Emissions</v>
      </c>
      <c r="T95" s="153"/>
      <c r="U95" s="200">
        <f>K57</f>
        <v>0</v>
      </c>
      <c r="V95" s="47" t="str">
        <f>L57</f>
        <v>t CO2/LT</v>
      </c>
      <c r="AL95" s="118"/>
      <c r="AM95" s="10"/>
      <c r="AN95" s="10"/>
      <c r="BE95" s="118"/>
      <c r="BF95" s="118"/>
      <c r="BG95" s="118"/>
    </row>
    <row r="96" spans="2:59" ht="14.6" x14ac:dyDescent="0.3">
      <c r="B96" s="277"/>
      <c r="D96" s="6" t="str">
        <f>D20</f>
        <v>O&amp;M</v>
      </c>
      <c r="E96" s="6"/>
      <c r="F96" s="130">
        <f t="shared" ref="F96:G98" si="39">F20</f>
        <v>400</v>
      </c>
      <c r="G96" s="6" t="str">
        <f t="shared" si="39"/>
        <v>Euro/Year</v>
      </c>
      <c r="H96" s="65"/>
      <c r="L96" s="117"/>
      <c r="M96" s="117"/>
      <c r="N96" s="6" t="str">
        <f>D56</f>
        <v>O&amp;M</v>
      </c>
      <c r="O96" s="6"/>
      <c r="P96" s="6">
        <f t="shared" ref="P96:Q98" si="40">F56</f>
        <v>200</v>
      </c>
      <c r="Q96" s="6" t="str">
        <f t="shared" si="40"/>
        <v>Euro/Year</v>
      </c>
      <c r="S96" s="10"/>
      <c r="T96" s="10"/>
      <c r="AL96" s="118"/>
      <c r="AM96" s="10"/>
      <c r="AN96" s="10"/>
      <c r="BE96" s="118"/>
      <c r="BF96" s="118"/>
      <c r="BG96" s="118"/>
    </row>
    <row r="97" spans="2:59" ht="14.6" x14ac:dyDescent="0.3">
      <c r="B97" s="277"/>
      <c r="D97" s="1" t="str">
        <f>D21</f>
        <v>Insurance</v>
      </c>
      <c r="F97" s="130">
        <f t="shared" si="39"/>
        <v>114.35999999999999</v>
      </c>
      <c r="G97" s="1" t="str">
        <f t="shared" si="39"/>
        <v>Euro/Year</v>
      </c>
      <c r="H97" s="65"/>
      <c r="I97" s="1"/>
      <c r="J97" s="1"/>
      <c r="L97" s="117"/>
      <c r="M97" s="117"/>
      <c r="N97" s="1" t="str">
        <f>D57</f>
        <v>Insurance</v>
      </c>
      <c r="O97" s="6"/>
      <c r="P97" s="46">
        <f t="shared" si="40"/>
        <v>114.35999999999999</v>
      </c>
      <c r="Q97" s="6" t="str">
        <f t="shared" si="40"/>
        <v>Euro/Year</v>
      </c>
      <c r="AL97" s="118"/>
      <c r="AM97" s="10"/>
      <c r="AN97" s="10"/>
      <c r="BE97" s="118"/>
      <c r="BF97" s="118"/>
      <c r="BG97" s="118"/>
    </row>
    <row r="98" spans="2:59" ht="14.6" x14ac:dyDescent="0.3">
      <c r="B98" s="277"/>
      <c r="D98" s="6" t="str">
        <f>D22</f>
        <v>Car-Tax</v>
      </c>
      <c r="E98" s="6"/>
      <c r="F98" s="119">
        <f t="shared" si="39"/>
        <v>521.40000000000009</v>
      </c>
      <c r="G98" s="6" t="str">
        <f t="shared" si="39"/>
        <v>Euro/Year</v>
      </c>
      <c r="H98" s="65"/>
      <c r="I98" s="11"/>
      <c r="J98" s="18"/>
      <c r="K98" s="21"/>
      <c r="L98" s="117"/>
      <c r="M98" s="117"/>
      <c r="N98" s="6" t="str">
        <f>D58</f>
        <v>Car-Tax</v>
      </c>
      <c r="O98" s="6"/>
      <c r="P98" s="46">
        <f t="shared" si="40"/>
        <v>0</v>
      </c>
      <c r="Q98" s="6" t="str">
        <f t="shared" si="40"/>
        <v>Euro/Year</v>
      </c>
      <c r="S98" s="11"/>
      <c r="AL98" s="118"/>
      <c r="AM98" s="10"/>
      <c r="AN98" s="10"/>
      <c r="BE98" s="118"/>
      <c r="BF98" s="118"/>
      <c r="BG98" s="118"/>
    </row>
    <row r="99" spans="2:59" ht="4.5" customHeight="1" x14ac:dyDescent="0.3">
      <c r="B99" s="277"/>
      <c r="I99" s="1"/>
      <c r="J99" s="1"/>
      <c r="K99" s="175"/>
      <c r="N99" s="10"/>
      <c r="O99" s="10"/>
    </row>
    <row r="100" spans="2:59" ht="4.5" customHeight="1" x14ac:dyDescent="0.3">
      <c r="B100" s="277"/>
      <c r="C100" s="11"/>
      <c r="D100" s="278"/>
      <c r="E100" s="278"/>
      <c r="F100" s="278"/>
      <c r="G100" s="278"/>
      <c r="H100" s="213"/>
      <c r="I100" s="138"/>
      <c r="J100" s="139"/>
      <c r="K100" s="140"/>
      <c r="L100" s="140"/>
      <c r="M100" s="213"/>
      <c r="N100" s="214"/>
      <c r="O100" s="214"/>
      <c r="P100" s="215"/>
      <c r="Q100" s="215"/>
      <c r="R100" s="215"/>
      <c r="S100" s="215"/>
      <c r="T100" s="215"/>
      <c r="U100" s="215"/>
      <c r="V100" s="215"/>
      <c r="AB100" s="10"/>
    </row>
    <row r="101" spans="2:59" ht="4.5" customHeight="1" x14ac:dyDescent="0.4">
      <c r="B101" s="277"/>
      <c r="H101" s="65"/>
      <c r="I101" s="72"/>
      <c r="J101" s="73"/>
      <c r="K101" s="73"/>
      <c r="L101" s="73"/>
      <c r="M101" s="73"/>
      <c r="N101" s="73"/>
      <c r="O101" s="66"/>
      <c r="P101" s="65"/>
    </row>
    <row r="102" spans="2:59" ht="15" customHeight="1" x14ac:dyDescent="0.4">
      <c r="B102" s="277"/>
      <c r="H102" s="65"/>
      <c r="I102" s="72"/>
      <c r="J102" s="74"/>
      <c r="K102" s="75"/>
      <c r="L102" s="74"/>
      <c r="M102" s="74"/>
      <c r="N102" s="74"/>
      <c r="O102" s="66"/>
      <c r="P102" s="65"/>
    </row>
    <row r="103" spans="2:59" ht="14.6" x14ac:dyDescent="0.4">
      <c r="B103" s="277"/>
      <c r="H103" s="65"/>
      <c r="I103" s="72"/>
      <c r="J103" s="74"/>
      <c r="K103" s="75"/>
      <c r="L103" s="74"/>
      <c r="M103" s="74"/>
      <c r="N103" s="74"/>
      <c r="O103" s="66"/>
      <c r="P103" s="65"/>
    </row>
    <row r="104" spans="2:59" ht="14.6" x14ac:dyDescent="0.4">
      <c r="B104" s="277"/>
      <c r="H104" s="65"/>
      <c r="I104" s="72"/>
      <c r="J104" s="74"/>
      <c r="K104" s="75"/>
      <c r="L104" s="74"/>
      <c r="M104" s="74"/>
      <c r="N104" s="74"/>
      <c r="O104" s="66"/>
      <c r="P104" s="65"/>
    </row>
    <row r="105" spans="2:59" ht="14.6" x14ac:dyDescent="0.4">
      <c r="B105" s="277"/>
      <c r="H105" s="65"/>
      <c r="I105" s="72"/>
      <c r="J105" s="74"/>
      <c r="K105" s="75"/>
      <c r="L105" s="74"/>
      <c r="M105" s="74"/>
      <c r="N105" s="74"/>
      <c r="O105" s="66"/>
      <c r="P105" s="65"/>
    </row>
    <row r="106" spans="2:59" ht="14.6" x14ac:dyDescent="0.4">
      <c r="B106" s="277"/>
      <c r="H106" s="65"/>
      <c r="I106" s="72"/>
      <c r="J106" s="74"/>
      <c r="K106" s="75"/>
      <c r="L106" s="74"/>
      <c r="M106" s="74"/>
      <c r="N106" s="74"/>
      <c r="O106" s="66"/>
      <c r="P106" s="65"/>
    </row>
    <row r="107" spans="2:59" ht="14.6" x14ac:dyDescent="0.4">
      <c r="B107" s="277"/>
      <c r="H107" s="65"/>
      <c r="I107" s="72"/>
      <c r="J107" s="74"/>
      <c r="K107" s="75"/>
      <c r="L107" s="74"/>
      <c r="M107" s="74"/>
      <c r="N107" s="74"/>
      <c r="O107" s="66"/>
      <c r="P107" s="65"/>
    </row>
    <row r="108" spans="2:59" ht="14.6" x14ac:dyDescent="0.4">
      <c r="B108" s="277"/>
      <c r="H108" s="65"/>
      <c r="I108" s="72"/>
      <c r="J108" s="74"/>
      <c r="K108" s="75"/>
      <c r="L108" s="74"/>
      <c r="M108" s="74"/>
      <c r="N108" s="74"/>
      <c r="O108" s="66"/>
      <c r="P108" s="65"/>
    </row>
    <row r="109" spans="2:59" ht="14.6" x14ac:dyDescent="0.4">
      <c r="B109" s="277"/>
      <c r="H109" s="65"/>
      <c r="I109" s="72"/>
      <c r="J109" s="74"/>
      <c r="K109" s="75"/>
      <c r="L109" s="74"/>
      <c r="M109" s="74"/>
      <c r="N109" s="74"/>
      <c r="O109" s="66"/>
      <c r="P109" s="65"/>
    </row>
    <row r="110" spans="2:59" ht="14.6" x14ac:dyDescent="0.4">
      <c r="B110" s="277"/>
      <c r="H110" s="65"/>
      <c r="I110" s="72"/>
      <c r="J110" s="74"/>
      <c r="K110" s="75"/>
      <c r="L110" s="74"/>
      <c r="M110" s="74"/>
      <c r="N110" s="74"/>
      <c r="O110" s="66"/>
      <c r="P110" s="65"/>
    </row>
    <row r="111" spans="2:59" ht="14.6" x14ac:dyDescent="0.4">
      <c r="B111" s="277"/>
      <c r="H111" s="65"/>
      <c r="I111" s="72"/>
      <c r="J111" s="74"/>
      <c r="K111" s="75"/>
      <c r="L111" s="74"/>
      <c r="M111" s="74"/>
      <c r="N111" s="74"/>
      <c r="O111" s="66"/>
      <c r="P111" s="65"/>
    </row>
    <row r="112" spans="2:59" ht="14.6" x14ac:dyDescent="0.4">
      <c r="B112" s="277"/>
      <c r="H112" s="65"/>
      <c r="I112" s="72"/>
      <c r="J112" s="74"/>
      <c r="K112" s="75"/>
      <c r="L112" s="74"/>
      <c r="M112" s="74"/>
      <c r="N112" s="74"/>
      <c r="O112" s="66"/>
      <c r="P112" s="65"/>
    </row>
    <row r="113" spans="2:59" ht="14.6" x14ac:dyDescent="0.4">
      <c r="B113" s="277"/>
      <c r="H113" s="65"/>
      <c r="I113" s="72"/>
      <c r="J113" s="74"/>
      <c r="K113" s="75"/>
      <c r="L113" s="74"/>
      <c r="M113" s="74"/>
      <c r="N113" s="74"/>
      <c r="O113" s="66"/>
      <c r="P113" s="65"/>
    </row>
    <row r="114" spans="2:59" ht="14.6" x14ac:dyDescent="0.4">
      <c r="B114" s="277"/>
      <c r="H114" s="65"/>
      <c r="I114" s="72"/>
      <c r="J114" s="74"/>
      <c r="K114" s="75"/>
      <c r="L114" s="74"/>
      <c r="M114" s="74"/>
      <c r="N114" s="74"/>
      <c r="O114" s="66"/>
      <c r="P114" s="65"/>
    </row>
    <row r="115" spans="2:59" ht="14.6" x14ac:dyDescent="0.4">
      <c r="B115" s="277"/>
      <c r="H115" s="65"/>
      <c r="I115" s="72"/>
      <c r="J115" s="76"/>
      <c r="K115" s="77"/>
      <c r="L115" s="76"/>
      <c r="M115" s="76"/>
      <c r="N115" s="76"/>
      <c r="O115" s="66"/>
      <c r="P115" s="65"/>
    </row>
    <row r="116" spans="2:59" ht="14.6" x14ac:dyDescent="0.4">
      <c r="B116" s="277"/>
      <c r="H116" s="65"/>
      <c r="I116" s="72"/>
      <c r="J116" s="78"/>
      <c r="K116" s="78"/>
      <c r="L116" s="78"/>
      <c r="M116" s="78"/>
      <c r="N116" s="78"/>
      <c r="O116" s="66"/>
      <c r="P116" s="65"/>
    </row>
    <row r="117" spans="2:59" ht="14.6" x14ac:dyDescent="0.4">
      <c r="B117" s="277"/>
      <c r="H117" s="65"/>
      <c r="I117" s="72"/>
      <c r="J117" s="79"/>
      <c r="K117" s="79"/>
      <c r="L117" s="79"/>
      <c r="M117" s="79"/>
      <c r="N117" s="79"/>
      <c r="O117" s="66"/>
      <c r="P117" s="65"/>
    </row>
    <row r="118" spans="2:59" ht="15.45" x14ac:dyDescent="0.4">
      <c r="B118" s="277"/>
      <c r="H118" s="65"/>
      <c r="I118" s="80"/>
      <c r="J118" s="81"/>
      <c r="K118" s="81"/>
      <c r="L118" s="81"/>
      <c r="M118" s="81"/>
      <c r="N118" s="81"/>
      <c r="O118" s="66"/>
      <c r="P118" s="65"/>
    </row>
    <row r="119" spans="2:59" ht="14.6" x14ac:dyDescent="0.3">
      <c r="B119" s="277"/>
      <c r="H119" s="65"/>
      <c r="I119" s="82"/>
      <c r="J119" s="81"/>
      <c r="K119" s="81"/>
      <c r="L119" s="83"/>
      <c r="M119" s="83"/>
      <c r="N119" s="84"/>
      <c r="O119" s="66"/>
      <c r="P119" s="65"/>
    </row>
    <row r="120" spans="2:59" ht="14.6" x14ac:dyDescent="0.4">
      <c r="B120" s="277"/>
      <c r="H120" s="65"/>
      <c r="I120" s="72"/>
      <c r="J120" s="85"/>
      <c r="K120" s="81"/>
      <c r="L120" s="86"/>
      <c r="M120" s="86"/>
      <c r="N120" s="87"/>
      <c r="O120" s="66"/>
      <c r="P120" s="65"/>
    </row>
    <row r="121" spans="2:59" ht="14.6" x14ac:dyDescent="0.3">
      <c r="B121" s="277"/>
      <c r="H121" s="65"/>
      <c r="I121" s="82"/>
      <c r="J121" s="81"/>
      <c r="K121" s="81"/>
      <c r="L121" s="117"/>
      <c r="M121" s="117"/>
      <c r="N121" s="88"/>
      <c r="O121" s="66"/>
      <c r="P121" s="65"/>
    </row>
    <row r="122" spans="2:59" ht="14.6" x14ac:dyDescent="0.4">
      <c r="B122" s="277"/>
      <c r="H122" s="65"/>
      <c r="I122" s="72"/>
      <c r="J122" s="89"/>
      <c r="K122" s="81"/>
      <c r="L122" s="117"/>
      <c r="M122" s="117"/>
      <c r="N122" s="88"/>
      <c r="O122" s="66"/>
      <c r="P122" s="65"/>
    </row>
    <row r="123" spans="2:59" ht="14.6" x14ac:dyDescent="0.4">
      <c r="B123" s="277"/>
      <c r="H123" s="65"/>
      <c r="I123" s="72"/>
      <c r="J123" s="89"/>
      <c r="K123" s="81"/>
      <c r="L123" s="81"/>
      <c r="M123" s="81"/>
      <c r="N123" s="88"/>
      <c r="O123" s="66"/>
      <c r="P123" s="65"/>
    </row>
    <row r="124" spans="2:59" ht="14.6" x14ac:dyDescent="0.4">
      <c r="B124" s="277"/>
      <c r="H124" s="65"/>
      <c r="I124" s="72"/>
      <c r="J124" s="90"/>
      <c r="K124" s="281"/>
      <c r="L124" s="281"/>
      <c r="M124" s="117"/>
      <c r="N124" s="88"/>
      <c r="O124" s="66"/>
      <c r="P124" s="65"/>
    </row>
    <row r="125" spans="2:59" ht="14.6" x14ac:dyDescent="0.4">
      <c r="B125" s="277"/>
      <c r="H125" s="65"/>
      <c r="I125" s="72"/>
      <c r="J125" s="90"/>
      <c r="K125" s="117"/>
      <c r="L125" s="117"/>
      <c r="M125" s="117"/>
      <c r="N125" s="88"/>
      <c r="O125" s="66"/>
      <c r="P125" s="65"/>
      <c r="BE125" s="256" t="s">
        <v>108</v>
      </c>
      <c r="BF125" s="256"/>
      <c r="BG125" s="256"/>
    </row>
    <row r="126" spans="2:59" ht="14.6" x14ac:dyDescent="0.4">
      <c r="B126" s="277"/>
      <c r="H126" s="65"/>
      <c r="I126" s="72"/>
      <c r="J126" s="90"/>
      <c r="K126" s="117"/>
      <c r="L126" s="117"/>
      <c r="M126" s="117"/>
      <c r="N126" s="88"/>
      <c r="O126" s="66"/>
      <c r="P126" s="65"/>
      <c r="AL126" s="257"/>
      <c r="AM126" s="256"/>
      <c r="AN126" s="256"/>
      <c r="BE126" s="118">
        <v>2.5000000000000001E-2</v>
      </c>
      <c r="BF126" s="118"/>
      <c r="BG126" s="118">
        <v>2.5000000000000001E-2</v>
      </c>
    </row>
    <row r="127" spans="2:59" ht="6" customHeight="1" x14ac:dyDescent="0.3">
      <c r="B127" s="116"/>
      <c r="D127" s="213"/>
      <c r="E127" s="213"/>
      <c r="F127" s="213"/>
      <c r="G127" s="213"/>
      <c r="H127" s="213"/>
      <c r="I127" s="213"/>
      <c r="J127" s="213"/>
      <c r="K127" s="213"/>
      <c r="L127" s="213"/>
      <c r="M127" s="213"/>
      <c r="N127" s="213"/>
      <c r="O127" s="213"/>
      <c r="P127" s="213"/>
      <c r="Q127" s="213"/>
      <c r="R127" s="213"/>
      <c r="S127" s="213"/>
      <c r="T127" s="213"/>
      <c r="U127" s="213"/>
      <c r="V127" s="213"/>
      <c r="AL127" s="118"/>
      <c r="AM127" s="10"/>
      <c r="AN127" s="10"/>
      <c r="BE127" s="118"/>
      <c r="BF127" s="118"/>
      <c r="BG127" s="118"/>
    </row>
    <row r="128" spans="2:59" ht="14.6" x14ac:dyDescent="0.4">
      <c r="H128" s="65"/>
      <c r="I128" s="72"/>
      <c r="J128" s="90"/>
      <c r="K128" s="117"/>
      <c r="L128" s="117"/>
      <c r="M128" s="117"/>
      <c r="N128" s="88"/>
      <c r="O128" s="66"/>
      <c r="P128" s="65"/>
      <c r="AL128" s="118"/>
      <c r="AM128" s="10"/>
      <c r="AN128" s="10"/>
      <c r="BE128" s="118"/>
      <c r="BF128" s="118"/>
      <c r="BG128" s="118"/>
    </row>
    <row r="129" spans="2:59" ht="14.6" x14ac:dyDescent="0.4">
      <c r="H129" s="65"/>
      <c r="I129" s="72"/>
      <c r="J129" s="90"/>
      <c r="K129" s="117"/>
      <c r="L129" s="117"/>
      <c r="M129" s="117"/>
      <c r="N129" s="88"/>
      <c r="O129" s="66"/>
      <c r="P129" s="65"/>
      <c r="AL129" s="118"/>
      <c r="AM129" s="10"/>
      <c r="AN129" s="10"/>
      <c r="BE129" s="118"/>
      <c r="BF129" s="118"/>
      <c r="BG129" s="118"/>
    </row>
    <row r="130" spans="2:59" ht="14.6" x14ac:dyDescent="0.4">
      <c r="H130" s="65"/>
      <c r="I130" s="72"/>
      <c r="J130" s="90"/>
      <c r="K130" s="117"/>
      <c r="L130" s="117"/>
      <c r="M130" s="117"/>
      <c r="N130" s="88"/>
      <c r="O130" s="66"/>
      <c r="P130" s="65"/>
      <c r="AL130" s="118"/>
      <c r="AM130" s="10"/>
      <c r="AN130" s="10"/>
      <c r="BE130" s="118"/>
      <c r="BF130" s="118"/>
      <c r="BG130" s="118"/>
    </row>
    <row r="131" spans="2:59" ht="14.6" x14ac:dyDescent="0.4">
      <c r="H131" s="65"/>
      <c r="I131" s="72"/>
      <c r="J131" s="90"/>
      <c r="K131" s="117"/>
      <c r="L131" s="117"/>
      <c r="M131" s="117"/>
      <c r="N131" s="88"/>
      <c r="O131" s="66"/>
      <c r="P131" s="65"/>
      <c r="AL131" s="118"/>
      <c r="AM131" s="10"/>
      <c r="AN131" s="10"/>
      <c r="BE131" s="118"/>
      <c r="BF131" s="118"/>
      <c r="BG131" s="118"/>
    </row>
    <row r="132" spans="2:59" ht="14.6" x14ac:dyDescent="0.4">
      <c r="H132" s="65"/>
      <c r="I132" s="72"/>
      <c r="J132" s="90"/>
      <c r="K132" s="117"/>
      <c r="L132" s="117"/>
      <c r="M132" s="117"/>
      <c r="N132" s="88"/>
      <c r="O132" s="66"/>
      <c r="P132" s="65"/>
      <c r="AL132" s="118"/>
      <c r="AM132" s="10"/>
      <c r="AN132" s="10"/>
      <c r="BE132" s="118"/>
      <c r="BF132" s="118"/>
      <c r="BG132" s="118"/>
    </row>
    <row r="133" spans="2:59" ht="14.6" x14ac:dyDescent="0.4">
      <c r="H133" s="65"/>
      <c r="I133" s="72"/>
      <c r="J133" s="90"/>
      <c r="K133" s="117"/>
      <c r="L133" s="117"/>
      <c r="M133" s="117"/>
      <c r="N133" s="88"/>
      <c r="O133" s="66"/>
      <c r="P133" s="65"/>
      <c r="AL133" s="118"/>
      <c r="AM133" s="10"/>
      <c r="AN133" s="10"/>
      <c r="BE133" s="118"/>
      <c r="BF133" s="118"/>
      <c r="BG133" s="118"/>
    </row>
    <row r="134" spans="2:59" ht="14.6" x14ac:dyDescent="0.4">
      <c r="H134" s="65"/>
      <c r="I134" s="72"/>
      <c r="J134" s="90"/>
      <c r="K134" s="117"/>
      <c r="L134" s="117"/>
      <c r="M134" s="117"/>
      <c r="N134" s="88"/>
      <c r="O134" s="66"/>
      <c r="P134" s="65"/>
      <c r="AL134" s="118"/>
      <c r="AM134" s="10"/>
      <c r="AN134" s="10"/>
      <c r="BE134" s="118"/>
      <c r="BF134" s="118"/>
      <c r="BG134" s="118"/>
    </row>
    <row r="135" spans="2:59" ht="14.6" x14ac:dyDescent="0.4">
      <c r="H135" s="65"/>
      <c r="I135" s="72"/>
      <c r="J135" s="90"/>
      <c r="K135" s="117"/>
      <c r="L135" s="117"/>
      <c r="M135" s="117"/>
      <c r="N135" s="88"/>
      <c r="O135" s="66"/>
      <c r="P135" s="65"/>
      <c r="AL135" s="118"/>
      <c r="AM135" s="10"/>
      <c r="AN135" s="10"/>
      <c r="BE135" s="118"/>
      <c r="BF135" s="118"/>
      <c r="BG135" s="118"/>
    </row>
    <row r="136" spans="2:59" x14ac:dyDescent="0.3">
      <c r="B136" s="141" t="s">
        <v>109</v>
      </c>
      <c r="C136" s="141"/>
      <c r="D136" s="141" t="s">
        <v>81</v>
      </c>
      <c r="E136" s="141"/>
      <c r="F136" s="141">
        <v>3</v>
      </c>
      <c r="G136" s="141"/>
      <c r="H136" s="141"/>
      <c r="I136" s="141"/>
      <c r="J136" s="141"/>
      <c r="K136" s="141"/>
      <c r="L136" s="141"/>
      <c r="M136" s="141"/>
      <c r="N136" s="141"/>
      <c r="O136" s="141"/>
      <c r="P136" s="141"/>
      <c r="Q136" s="141"/>
      <c r="R136" s="141"/>
      <c r="S136" s="141"/>
      <c r="T136" s="141"/>
      <c r="U136" s="141"/>
      <c r="V136" s="141"/>
      <c r="W136" s="141"/>
      <c r="X136" s="141"/>
      <c r="Y136" s="141"/>
      <c r="Z136" s="141"/>
      <c r="AA136" s="141"/>
    </row>
    <row r="137" spans="2:59" x14ac:dyDescent="0.3">
      <c r="B137" s="141" t="s">
        <v>110</v>
      </c>
      <c r="C137" s="141"/>
      <c r="D137" s="141" t="s">
        <v>111</v>
      </c>
      <c r="E137" s="141">
        <v>8.9</v>
      </c>
      <c r="F137" s="141">
        <v>5</v>
      </c>
      <c r="G137" s="141"/>
      <c r="H137" s="141"/>
      <c r="I137" s="141"/>
      <c r="J137" s="141"/>
      <c r="K137" s="141"/>
      <c r="L137" s="141"/>
      <c r="M137" s="141"/>
      <c r="N137" s="141"/>
      <c r="O137" s="141"/>
      <c r="P137" s="141"/>
      <c r="Q137" s="141"/>
      <c r="R137" s="141"/>
      <c r="S137" s="141"/>
      <c r="T137" s="141"/>
      <c r="U137" s="141"/>
      <c r="V137" s="141"/>
      <c r="W137" s="141"/>
      <c r="X137" s="141"/>
      <c r="Y137" s="141"/>
      <c r="Z137" s="141"/>
      <c r="AA137" s="141"/>
    </row>
    <row r="138" spans="2:59" x14ac:dyDescent="0.3">
      <c r="B138" s="141" t="s">
        <v>112</v>
      </c>
      <c r="C138" s="141"/>
      <c r="D138" s="141" t="s">
        <v>113</v>
      </c>
      <c r="E138" s="141">
        <v>9.8000000000000007</v>
      </c>
      <c r="F138" s="141">
        <v>10</v>
      </c>
      <c r="G138" s="141"/>
      <c r="H138" s="141"/>
      <c r="I138" s="141"/>
      <c r="J138" s="141"/>
      <c r="K138" s="141"/>
      <c r="L138" s="141"/>
      <c r="M138" s="141"/>
      <c r="N138" s="141"/>
      <c r="O138" s="141"/>
      <c r="P138" s="141"/>
      <c r="Q138" s="141"/>
      <c r="R138" s="141"/>
      <c r="S138" s="141"/>
      <c r="T138" s="141"/>
      <c r="U138" s="141"/>
      <c r="V138" s="141"/>
      <c r="W138" s="141"/>
      <c r="X138" s="141"/>
      <c r="Y138" s="141"/>
      <c r="Z138" s="141"/>
      <c r="AA138" s="141"/>
    </row>
    <row r="139" spans="2:59" x14ac:dyDescent="0.3">
      <c r="B139" s="141"/>
      <c r="C139" s="141"/>
      <c r="D139" s="141" t="s">
        <v>114</v>
      </c>
      <c r="E139" s="141"/>
      <c r="F139" s="141">
        <v>15</v>
      </c>
      <c r="G139" s="141"/>
      <c r="H139" s="141"/>
      <c r="I139" s="141"/>
      <c r="J139" s="141"/>
      <c r="K139" s="141"/>
      <c r="L139" s="141"/>
      <c r="M139" s="141"/>
      <c r="N139" s="141"/>
      <c r="O139" s="141"/>
      <c r="P139" s="141"/>
      <c r="Q139" s="141"/>
      <c r="R139" s="141"/>
      <c r="S139" s="141"/>
      <c r="T139" s="141"/>
      <c r="U139" s="141"/>
      <c r="V139" s="141"/>
      <c r="W139" s="141"/>
      <c r="X139" s="141"/>
      <c r="Y139" s="141"/>
      <c r="Z139" s="141"/>
      <c r="AA139" s="141"/>
    </row>
    <row r="140" spans="2:59" x14ac:dyDescent="0.3">
      <c r="B140" s="141"/>
      <c r="C140" s="141"/>
      <c r="D140" s="141"/>
      <c r="E140" s="141"/>
      <c r="F140" s="141">
        <v>20</v>
      </c>
      <c r="G140" s="141"/>
      <c r="H140" s="141"/>
      <c r="I140" s="141"/>
      <c r="J140" s="141"/>
      <c r="K140" s="141"/>
      <c r="L140" s="141"/>
      <c r="M140" s="141"/>
      <c r="N140" s="141"/>
      <c r="O140" s="141"/>
      <c r="P140" s="141"/>
      <c r="Q140" s="141"/>
      <c r="R140" s="141"/>
      <c r="S140" s="141"/>
      <c r="T140" s="141"/>
      <c r="U140" s="141"/>
      <c r="V140" s="141"/>
      <c r="W140" s="141"/>
      <c r="X140" s="141"/>
      <c r="Y140" s="141"/>
      <c r="Z140" s="141"/>
      <c r="AA140" s="141"/>
    </row>
    <row r="141" spans="2:59" x14ac:dyDescent="0.3">
      <c r="B141" s="141"/>
      <c r="C141" s="141"/>
      <c r="D141" s="141"/>
      <c r="E141" s="141"/>
      <c r="F141" s="141"/>
      <c r="G141" s="141"/>
      <c r="H141" s="141"/>
      <c r="I141" s="141"/>
      <c r="J141" s="141"/>
      <c r="K141" s="141"/>
      <c r="L141" s="141"/>
      <c r="M141" s="141"/>
      <c r="N141" s="141"/>
      <c r="O141" s="141"/>
      <c r="P141" s="141"/>
      <c r="Q141" s="141"/>
      <c r="R141" s="141"/>
      <c r="S141" s="141"/>
      <c r="T141" s="141"/>
      <c r="U141" s="141"/>
      <c r="V141" s="141"/>
      <c r="W141" s="141"/>
      <c r="X141" s="141"/>
      <c r="Y141" s="141"/>
      <c r="Z141" s="141"/>
      <c r="AA141" s="141"/>
    </row>
    <row r="142" spans="2:59" s="37" customFormat="1" ht="10.3" x14ac:dyDescent="0.25">
      <c r="B142" s="240">
        <v>1</v>
      </c>
      <c r="C142" s="241">
        <f>B142+1</f>
        <v>2</v>
      </c>
      <c r="D142" s="240">
        <f>C142+1</f>
        <v>3</v>
      </c>
      <c r="E142" s="240">
        <f t="shared" ref="E142:AB142" si="41">D142+1</f>
        <v>4</v>
      </c>
      <c r="F142" s="240">
        <f t="shared" si="41"/>
        <v>5</v>
      </c>
      <c r="G142" s="240">
        <f>F142+1</f>
        <v>6</v>
      </c>
      <c r="H142" s="240">
        <f>G142+1</f>
        <v>7</v>
      </c>
      <c r="I142" s="240">
        <v>8</v>
      </c>
      <c r="J142" s="240">
        <v>9</v>
      </c>
      <c r="K142" s="240">
        <f t="shared" si="41"/>
        <v>10</v>
      </c>
      <c r="L142" s="240">
        <f t="shared" si="41"/>
        <v>11</v>
      </c>
      <c r="M142" s="240">
        <f t="shared" si="41"/>
        <v>12</v>
      </c>
      <c r="N142" s="240">
        <f t="shared" si="41"/>
        <v>13</v>
      </c>
      <c r="O142" s="240">
        <f t="shared" si="41"/>
        <v>14</v>
      </c>
      <c r="P142" s="240">
        <f t="shared" si="41"/>
        <v>15</v>
      </c>
      <c r="Q142" s="240">
        <f t="shared" si="41"/>
        <v>16</v>
      </c>
      <c r="R142" s="240">
        <f t="shared" si="41"/>
        <v>17</v>
      </c>
      <c r="S142" s="240">
        <f t="shared" si="41"/>
        <v>18</v>
      </c>
      <c r="T142" s="240">
        <f t="shared" si="41"/>
        <v>19</v>
      </c>
      <c r="U142" s="240">
        <f t="shared" si="41"/>
        <v>20</v>
      </c>
      <c r="V142" s="240">
        <f t="shared" si="41"/>
        <v>21</v>
      </c>
      <c r="W142" s="240">
        <f t="shared" si="41"/>
        <v>22</v>
      </c>
      <c r="X142" s="240">
        <f>W142+1</f>
        <v>23</v>
      </c>
      <c r="Y142" s="240">
        <f>X142+1</f>
        <v>24</v>
      </c>
      <c r="Z142" s="240">
        <f t="shared" si="41"/>
        <v>25</v>
      </c>
      <c r="AA142" s="240">
        <f t="shared" si="41"/>
        <v>26</v>
      </c>
      <c r="AB142" s="240">
        <f t="shared" si="41"/>
        <v>27</v>
      </c>
    </row>
    <row r="143" spans="2:59" ht="12.75" customHeight="1" x14ac:dyDescent="0.3">
      <c r="B143" s="258" t="s">
        <v>31</v>
      </c>
      <c r="C143" s="258"/>
      <c r="D143" s="258" t="s">
        <v>45</v>
      </c>
      <c r="E143" s="254" t="s">
        <v>115</v>
      </c>
      <c r="F143" s="254" t="s">
        <v>116</v>
      </c>
      <c r="G143" s="252" t="s">
        <v>57</v>
      </c>
      <c r="H143" s="252" t="s">
        <v>117</v>
      </c>
      <c r="I143" s="252" t="s">
        <v>118</v>
      </c>
      <c r="J143" s="252" t="s">
        <v>70</v>
      </c>
      <c r="K143" s="252" t="s">
        <v>119</v>
      </c>
      <c r="L143" s="252" t="s">
        <v>120</v>
      </c>
      <c r="M143" s="252"/>
      <c r="N143" s="252" t="s">
        <v>121</v>
      </c>
      <c r="O143" s="252" t="s">
        <v>54</v>
      </c>
      <c r="P143" s="252" t="s">
        <v>122</v>
      </c>
      <c r="Q143" s="252" t="s">
        <v>87</v>
      </c>
      <c r="R143" s="252" t="s">
        <v>123</v>
      </c>
      <c r="S143" s="252" t="s">
        <v>124</v>
      </c>
      <c r="T143" s="252" t="s">
        <v>125</v>
      </c>
      <c r="U143" s="252" t="s">
        <v>92</v>
      </c>
      <c r="V143" s="252" t="s">
        <v>126</v>
      </c>
      <c r="W143" s="252" t="s">
        <v>127</v>
      </c>
      <c r="X143" s="252" t="s">
        <v>128</v>
      </c>
      <c r="Y143" s="252" t="s">
        <v>129</v>
      </c>
      <c r="Z143" s="254" t="s">
        <v>130</v>
      </c>
      <c r="AA143" s="141"/>
    </row>
    <row r="144" spans="2:59" x14ac:dyDescent="0.3">
      <c r="B144" s="259"/>
      <c r="C144" s="259"/>
      <c r="D144" s="259"/>
      <c r="E144" s="255"/>
      <c r="F144" s="255"/>
      <c r="G144" s="253"/>
      <c r="H144" s="253"/>
      <c r="I144" s="253"/>
      <c r="J144" s="253"/>
      <c r="K144" s="253"/>
      <c r="L144" s="253"/>
      <c r="M144" s="253"/>
      <c r="N144" s="253"/>
      <c r="O144" s="253"/>
      <c r="P144" s="253"/>
      <c r="Q144" s="253"/>
      <c r="R144" s="253"/>
      <c r="S144" s="253"/>
      <c r="T144" s="253"/>
      <c r="U144" s="253"/>
      <c r="V144" s="253"/>
      <c r="W144" s="253"/>
      <c r="X144" s="253"/>
      <c r="Y144" s="253"/>
      <c r="Z144" s="255"/>
      <c r="AA144" s="141"/>
    </row>
    <row r="145" spans="2:27" ht="14.6" thickBot="1" x14ac:dyDescent="0.45">
      <c r="B145" s="223"/>
      <c r="C145" s="223"/>
      <c r="D145" s="223"/>
      <c r="E145" s="224"/>
      <c r="F145" s="224"/>
      <c r="G145" s="223" t="s">
        <v>47</v>
      </c>
      <c r="H145" s="223"/>
      <c r="I145" s="223" t="s">
        <v>80</v>
      </c>
      <c r="J145" s="223" t="s">
        <v>69</v>
      </c>
      <c r="K145" s="223" t="s">
        <v>73</v>
      </c>
      <c r="L145" s="223" t="s">
        <v>79</v>
      </c>
      <c r="M145" s="223"/>
      <c r="N145" s="223" t="s">
        <v>6</v>
      </c>
      <c r="O145" s="223" t="s">
        <v>55</v>
      </c>
      <c r="P145" s="223" t="s">
        <v>47</v>
      </c>
      <c r="Q145" s="223" t="s">
        <v>88</v>
      </c>
      <c r="R145" s="223" t="s">
        <v>91</v>
      </c>
      <c r="S145" s="223" t="s">
        <v>131</v>
      </c>
      <c r="T145" s="223" t="s">
        <v>76</v>
      </c>
      <c r="U145" s="223" t="s">
        <v>132</v>
      </c>
      <c r="V145" s="223" t="s">
        <v>47</v>
      </c>
      <c r="W145" s="223" t="s">
        <v>47</v>
      </c>
      <c r="X145" s="223" t="s">
        <v>131</v>
      </c>
      <c r="Y145" s="223" t="s">
        <v>131</v>
      </c>
      <c r="Z145" s="223"/>
      <c r="AA145" s="141" t="s">
        <v>133</v>
      </c>
    </row>
    <row r="146" spans="2:27" x14ac:dyDescent="0.3">
      <c r="B146" s="143" t="s">
        <v>134</v>
      </c>
      <c r="C146" s="143"/>
      <c r="D146" s="143" t="s">
        <v>135</v>
      </c>
      <c r="E146" s="142" t="s">
        <v>109</v>
      </c>
      <c r="F146" s="142" t="s">
        <v>81</v>
      </c>
      <c r="G146" s="144">
        <v>27588</v>
      </c>
      <c r="H146" s="242"/>
      <c r="I146" s="142">
        <v>13.5</v>
      </c>
      <c r="J146" s="142"/>
      <c r="K146" s="147"/>
      <c r="L146" s="142"/>
      <c r="M146" s="142"/>
      <c r="N146" s="142">
        <v>150</v>
      </c>
      <c r="O146" s="142">
        <v>49</v>
      </c>
      <c r="P146" s="144">
        <v>8000</v>
      </c>
      <c r="Q146" s="147">
        <v>16</v>
      </c>
      <c r="R146" s="148">
        <v>1.4999999999999999E-2</v>
      </c>
      <c r="S146" s="142"/>
      <c r="T146" s="142"/>
      <c r="U146" s="145"/>
      <c r="V146" s="142">
        <v>150</v>
      </c>
      <c r="W146" s="142"/>
      <c r="X146" s="144">
        <v>1100</v>
      </c>
      <c r="Y146" s="144">
        <f>X146+340</f>
        <v>1440</v>
      </c>
      <c r="Z146" s="146" t="s">
        <v>136</v>
      </c>
      <c r="AA146" s="141"/>
    </row>
    <row r="147" spans="2:27" x14ac:dyDescent="0.3">
      <c r="B147" s="143" t="s">
        <v>137</v>
      </c>
      <c r="C147" s="143"/>
      <c r="D147" s="143" t="s">
        <v>135</v>
      </c>
      <c r="E147" s="142" t="s">
        <v>109</v>
      </c>
      <c r="F147" s="142" t="s">
        <v>81</v>
      </c>
      <c r="G147" s="144">
        <v>19990</v>
      </c>
      <c r="H147" s="242"/>
      <c r="I147" s="142">
        <v>13.5</v>
      </c>
      <c r="J147" s="142"/>
      <c r="K147" s="147"/>
      <c r="L147" s="142"/>
      <c r="M147" s="142"/>
      <c r="N147" s="142">
        <v>150</v>
      </c>
      <c r="O147" s="142">
        <v>49</v>
      </c>
      <c r="P147" s="144">
        <v>8000</v>
      </c>
      <c r="Q147" s="147">
        <v>16</v>
      </c>
      <c r="R147" s="148">
        <v>1.4999999999999999E-2</v>
      </c>
      <c r="S147" s="142"/>
      <c r="T147" s="142"/>
      <c r="U147" s="145"/>
      <c r="V147" s="142">
        <v>150</v>
      </c>
      <c r="W147" s="142"/>
      <c r="X147" s="144">
        <v>1100</v>
      </c>
      <c r="Y147" s="144">
        <f>X147+340</f>
        <v>1440</v>
      </c>
      <c r="Z147" s="146" t="s">
        <v>136</v>
      </c>
      <c r="AA147" s="141"/>
    </row>
    <row r="148" spans="2:27" x14ac:dyDescent="0.3">
      <c r="B148" s="143" t="s">
        <v>138</v>
      </c>
      <c r="C148" s="143"/>
      <c r="D148" s="143" t="s">
        <v>135</v>
      </c>
      <c r="E148" s="142" t="s">
        <v>109</v>
      </c>
      <c r="F148" s="142" t="s">
        <v>81</v>
      </c>
      <c r="G148" s="144">
        <v>15000</v>
      </c>
      <c r="H148" s="242"/>
      <c r="I148" s="142">
        <v>13.5</v>
      </c>
      <c r="J148" s="142"/>
      <c r="K148" s="147"/>
      <c r="L148" s="142"/>
      <c r="M148" s="142"/>
      <c r="N148" s="142">
        <v>150</v>
      </c>
      <c r="O148" s="142">
        <v>49</v>
      </c>
      <c r="P148" s="144">
        <v>8000</v>
      </c>
      <c r="Q148" s="147">
        <v>16</v>
      </c>
      <c r="R148" s="148">
        <v>1.4999999999999999E-2</v>
      </c>
      <c r="S148" s="142"/>
      <c r="T148" s="142"/>
      <c r="U148" s="145"/>
      <c r="V148" s="142">
        <v>150</v>
      </c>
      <c r="W148" s="142"/>
      <c r="X148" s="144">
        <v>1100</v>
      </c>
      <c r="Y148" s="144">
        <f>X148+340</f>
        <v>1440</v>
      </c>
      <c r="Z148" s="146" t="s">
        <v>136</v>
      </c>
      <c r="AA148" s="141"/>
    </row>
    <row r="149" spans="2:27" x14ac:dyDescent="0.3">
      <c r="B149" s="143" t="s">
        <v>139</v>
      </c>
      <c r="C149" s="143"/>
      <c r="D149" s="143" t="s">
        <v>135</v>
      </c>
      <c r="E149" s="142" t="s">
        <v>110</v>
      </c>
      <c r="F149" s="142" t="s">
        <v>81</v>
      </c>
      <c r="G149" s="144">
        <v>51600</v>
      </c>
      <c r="H149" s="242"/>
      <c r="I149" s="149">
        <f>Q149/N149*100</f>
        <v>19.583333333333332</v>
      </c>
      <c r="J149" s="149"/>
      <c r="K149" s="149"/>
      <c r="L149" s="149"/>
      <c r="M149" s="149"/>
      <c r="N149" s="142">
        <v>120</v>
      </c>
      <c r="O149" s="142">
        <v>42</v>
      </c>
      <c r="P149" s="142"/>
      <c r="Q149" s="142">
        <v>23.5</v>
      </c>
      <c r="R149" s="142"/>
      <c r="S149" s="142"/>
      <c r="T149" s="142"/>
      <c r="U149" s="145"/>
      <c r="V149" s="142"/>
      <c r="W149" s="142"/>
      <c r="X149" s="144">
        <v>1315</v>
      </c>
      <c r="Y149" s="144">
        <v>1890</v>
      </c>
      <c r="Z149" s="146" t="s">
        <v>140</v>
      </c>
      <c r="AA149" s="141"/>
    </row>
    <row r="150" spans="2:27" x14ac:dyDescent="0.3">
      <c r="B150" s="143" t="s">
        <v>141</v>
      </c>
      <c r="C150" s="143"/>
      <c r="D150" s="143" t="s">
        <v>142</v>
      </c>
      <c r="E150" s="142" t="s">
        <v>109</v>
      </c>
      <c r="F150" s="142" t="s">
        <v>81</v>
      </c>
      <c r="G150" s="144">
        <v>25690</v>
      </c>
      <c r="H150" s="242"/>
      <c r="I150" s="150">
        <v>14</v>
      </c>
      <c r="J150" s="150"/>
      <c r="K150" s="150"/>
      <c r="L150" s="150"/>
      <c r="M150" s="150"/>
      <c r="N150" s="142">
        <v>185</v>
      </c>
      <c r="O150" s="142">
        <v>70</v>
      </c>
      <c r="P150" s="147"/>
      <c r="Q150" s="147">
        <v>22</v>
      </c>
      <c r="R150" s="147"/>
      <c r="S150" s="142">
        <v>260</v>
      </c>
      <c r="T150" s="142"/>
      <c r="U150" s="145">
        <v>82</v>
      </c>
      <c r="V150" s="144"/>
      <c r="W150" s="144"/>
      <c r="X150" s="144">
        <v>1605</v>
      </c>
      <c r="Y150" s="144">
        <v>2023</v>
      </c>
      <c r="Z150" s="146" t="s">
        <v>143</v>
      </c>
      <c r="AA150" s="141"/>
    </row>
    <row r="151" spans="2:27" x14ac:dyDescent="0.3">
      <c r="B151" s="143" t="s">
        <v>144</v>
      </c>
      <c r="C151" s="143"/>
      <c r="D151" s="143" t="s">
        <v>142</v>
      </c>
      <c r="E151" s="142" t="s">
        <v>109</v>
      </c>
      <c r="F151" s="142" t="s">
        <v>81</v>
      </c>
      <c r="G151" s="144">
        <v>20780</v>
      </c>
      <c r="H151" s="242"/>
      <c r="I151" s="150">
        <v>16.3</v>
      </c>
      <c r="J151" s="150"/>
      <c r="K151" s="150"/>
      <c r="L151" s="150"/>
      <c r="M151" s="150"/>
      <c r="N151" s="142">
        <v>195</v>
      </c>
      <c r="O151" s="142">
        <v>65</v>
      </c>
      <c r="P151" s="147"/>
      <c r="Q151" s="147">
        <v>22</v>
      </c>
      <c r="R151" s="147"/>
      <c r="S151" s="142">
        <v>290</v>
      </c>
      <c r="T151" s="142"/>
      <c r="U151" s="145">
        <v>102</v>
      </c>
      <c r="V151" s="144"/>
      <c r="W151" s="144"/>
      <c r="X151" s="144">
        <v>1503</v>
      </c>
      <c r="Y151" s="144">
        <v>1943</v>
      </c>
      <c r="Z151" s="146" t="s">
        <v>145</v>
      </c>
      <c r="AA151" s="141"/>
    </row>
    <row r="152" spans="2:27" x14ac:dyDescent="0.3">
      <c r="B152" s="143" t="s">
        <v>146</v>
      </c>
      <c r="C152" s="143"/>
      <c r="D152" s="143" t="s">
        <v>142</v>
      </c>
      <c r="E152" s="142" t="s">
        <v>109</v>
      </c>
      <c r="F152" s="142" t="s">
        <v>81</v>
      </c>
      <c r="G152" s="144"/>
      <c r="H152" s="242">
        <v>453.4</v>
      </c>
      <c r="I152" s="150">
        <v>16.3</v>
      </c>
      <c r="J152" s="150"/>
      <c r="K152" s="150"/>
      <c r="L152" s="150"/>
      <c r="M152" s="150"/>
      <c r="N152" s="142">
        <v>195</v>
      </c>
      <c r="O152" s="142">
        <v>65</v>
      </c>
      <c r="P152" s="147"/>
      <c r="Q152" s="147">
        <v>22</v>
      </c>
      <c r="R152" s="147"/>
      <c r="S152" s="142">
        <v>290</v>
      </c>
      <c r="T152" s="142"/>
      <c r="U152" s="145"/>
      <c r="V152" s="144"/>
      <c r="W152" s="144"/>
      <c r="X152" s="144">
        <v>1503</v>
      </c>
      <c r="Y152" s="144">
        <v>1943</v>
      </c>
      <c r="Z152" s="146" t="s">
        <v>145</v>
      </c>
      <c r="AA152" s="141"/>
    </row>
    <row r="153" spans="2:27" x14ac:dyDescent="0.3">
      <c r="B153" s="143" t="s">
        <v>147</v>
      </c>
      <c r="C153" s="143"/>
      <c r="D153" s="143" t="s">
        <v>142</v>
      </c>
      <c r="E153" s="142" t="s">
        <v>110</v>
      </c>
      <c r="F153" s="142" t="s">
        <v>81</v>
      </c>
      <c r="G153" s="144">
        <v>24360</v>
      </c>
      <c r="H153" s="242"/>
      <c r="I153" s="142">
        <v>15.5</v>
      </c>
      <c r="J153" s="142"/>
      <c r="K153" s="147"/>
      <c r="L153" s="142"/>
      <c r="M153" s="142"/>
      <c r="N153" s="142">
        <v>170</v>
      </c>
      <c r="O153" s="142">
        <v>44</v>
      </c>
      <c r="P153" s="147"/>
      <c r="Q153" s="147">
        <v>22</v>
      </c>
      <c r="R153" s="147"/>
      <c r="S153" s="142">
        <v>260</v>
      </c>
      <c r="T153" s="142"/>
      <c r="U153" s="142">
        <v>90</v>
      </c>
      <c r="V153" s="142"/>
      <c r="W153" s="142"/>
      <c r="X153" s="144">
        <v>1501</v>
      </c>
      <c r="Y153" s="144">
        <v>2126</v>
      </c>
      <c r="Z153" s="146" t="s">
        <v>148</v>
      </c>
      <c r="AA153" s="141"/>
    </row>
    <row r="154" spans="2:27" x14ac:dyDescent="0.3">
      <c r="B154" s="143" t="s">
        <v>149</v>
      </c>
      <c r="C154" s="143"/>
      <c r="D154" s="143" t="s">
        <v>142</v>
      </c>
      <c r="E154" s="142" t="s">
        <v>110</v>
      </c>
      <c r="F154" s="142" t="s">
        <v>81</v>
      </c>
      <c r="G154" s="144">
        <v>25800</v>
      </c>
      <c r="H154" s="242"/>
      <c r="I154" s="142">
        <v>15.5</v>
      </c>
      <c r="J154" s="142"/>
      <c r="K154" s="147"/>
      <c r="L154" s="142"/>
      <c r="M154" s="142"/>
      <c r="N154" s="142">
        <v>170</v>
      </c>
      <c r="O154" s="142">
        <v>44</v>
      </c>
      <c r="P154" s="147"/>
      <c r="Q154" s="147">
        <v>22</v>
      </c>
      <c r="R154" s="147"/>
      <c r="S154" s="142">
        <v>260</v>
      </c>
      <c r="T154" s="142"/>
      <c r="U154" s="142">
        <v>90</v>
      </c>
      <c r="V154" s="142"/>
      <c r="W154" s="142"/>
      <c r="X154" s="144">
        <v>1580</v>
      </c>
      <c r="Y154" s="144">
        <v>2175</v>
      </c>
      <c r="Z154" s="146" t="s">
        <v>148</v>
      </c>
      <c r="AA154" s="141"/>
    </row>
    <row r="155" spans="2:27" x14ac:dyDescent="0.3">
      <c r="B155" s="143" t="s">
        <v>150</v>
      </c>
      <c r="C155" s="143"/>
      <c r="D155" s="143" t="s">
        <v>142</v>
      </c>
      <c r="E155" s="142" t="s">
        <v>110</v>
      </c>
      <c r="F155" s="142" t="s">
        <v>81</v>
      </c>
      <c r="G155" s="144">
        <v>26760</v>
      </c>
      <c r="H155" s="242"/>
      <c r="I155" s="142">
        <v>15.5</v>
      </c>
      <c r="J155" s="142"/>
      <c r="K155" s="147"/>
      <c r="L155" s="142"/>
      <c r="M155" s="142"/>
      <c r="N155" s="142">
        <v>170</v>
      </c>
      <c r="O155" s="142">
        <v>44</v>
      </c>
      <c r="P155" s="147"/>
      <c r="Q155" s="147">
        <v>22</v>
      </c>
      <c r="R155" s="147"/>
      <c r="S155" s="142">
        <v>260</v>
      </c>
      <c r="T155" s="142"/>
      <c r="U155" s="142">
        <v>90</v>
      </c>
      <c r="V155" s="142"/>
      <c r="W155" s="142"/>
      <c r="X155" s="144">
        <v>1628</v>
      </c>
      <c r="Y155" s="144">
        <v>2260</v>
      </c>
      <c r="Z155" s="146" t="s">
        <v>148</v>
      </c>
      <c r="AA155" s="141"/>
    </row>
    <row r="156" spans="2:27" x14ac:dyDescent="0.3">
      <c r="B156" s="143" t="s">
        <v>151</v>
      </c>
      <c r="C156" s="143"/>
      <c r="D156" s="143" t="s">
        <v>142</v>
      </c>
      <c r="E156" s="142" t="s">
        <v>110</v>
      </c>
      <c r="F156" s="142" t="s">
        <v>81</v>
      </c>
      <c r="G156" s="144"/>
      <c r="H156" s="242">
        <v>552.65</v>
      </c>
      <c r="I156" s="142">
        <v>15.5</v>
      </c>
      <c r="J156" s="142"/>
      <c r="K156" s="147"/>
      <c r="L156" s="142"/>
      <c r="M156" s="142"/>
      <c r="N156" s="142">
        <v>170</v>
      </c>
      <c r="O156" s="142">
        <v>44</v>
      </c>
      <c r="P156" s="147"/>
      <c r="Q156" s="147">
        <v>22</v>
      </c>
      <c r="R156" s="147"/>
      <c r="S156" s="142">
        <v>260</v>
      </c>
      <c r="T156" s="142"/>
      <c r="U156" s="142"/>
      <c r="V156" s="142"/>
      <c r="W156" s="142"/>
      <c r="X156" s="144">
        <v>1501</v>
      </c>
      <c r="Y156" s="144">
        <v>2126</v>
      </c>
      <c r="Z156" s="146" t="s">
        <v>148</v>
      </c>
      <c r="AA156" s="141"/>
    </row>
    <row r="157" spans="2:27" x14ac:dyDescent="0.3">
      <c r="B157" s="143" t="s">
        <v>152</v>
      </c>
      <c r="C157" s="143"/>
      <c r="D157" s="143" t="s">
        <v>142</v>
      </c>
      <c r="E157" s="142" t="s">
        <v>110</v>
      </c>
      <c r="F157" s="142" t="s">
        <v>81</v>
      </c>
      <c r="G157" s="144"/>
      <c r="H157" s="242">
        <v>565.12</v>
      </c>
      <c r="I157" s="142">
        <v>15.5</v>
      </c>
      <c r="J157" s="142"/>
      <c r="K157" s="147"/>
      <c r="L157" s="142"/>
      <c r="M157" s="142"/>
      <c r="N157" s="142">
        <v>170</v>
      </c>
      <c r="O157" s="142">
        <v>44</v>
      </c>
      <c r="P157" s="147"/>
      <c r="Q157" s="147">
        <v>22</v>
      </c>
      <c r="R157" s="147"/>
      <c r="S157" s="142">
        <v>260</v>
      </c>
      <c r="T157" s="142"/>
      <c r="U157" s="142"/>
      <c r="V157" s="142"/>
      <c r="W157" s="142"/>
      <c r="X157" s="144">
        <v>1580</v>
      </c>
      <c r="Y157" s="144">
        <v>2175</v>
      </c>
      <c r="Z157" s="146" t="s">
        <v>148</v>
      </c>
      <c r="AA157" s="141"/>
    </row>
    <row r="158" spans="2:27" x14ac:dyDescent="0.3">
      <c r="B158" s="143" t="s">
        <v>153</v>
      </c>
      <c r="C158" s="143"/>
      <c r="D158" s="143" t="s">
        <v>142</v>
      </c>
      <c r="E158" s="142" t="s">
        <v>110</v>
      </c>
      <c r="F158" s="142" t="s">
        <v>81</v>
      </c>
      <c r="G158" s="144"/>
      <c r="H158" s="242">
        <v>570.87</v>
      </c>
      <c r="I158" s="142">
        <v>15.5</v>
      </c>
      <c r="J158" s="142"/>
      <c r="K158" s="147"/>
      <c r="L158" s="142"/>
      <c r="M158" s="142"/>
      <c r="N158" s="142">
        <v>170</v>
      </c>
      <c r="O158" s="142">
        <v>44</v>
      </c>
      <c r="P158" s="147"/>
      <c r="Q158" s="147">
        <v>22</v>
      </c>
      <c r="R158" s="147"/>
      <c r="S158" s="142">
        <v>260</v>
      </c>
      <c r="T158" s="142"/>
      <c r="U158" s="142"/>
      <c r="V158" s="142"/>
      <c r="W158" s="142"/>
      <c r="X158" s="144">
        <v>1628</v>
      </c>
      <c r="Y158" s="144">
        <v>2260</v>
      </c>
      <c r="Z158" s="146" t="s">
        <v>148</v>
      </c>
      <c r="AA158" s="141"/>
    </row>
    <row r="159" spans="2:27" x14ac:dyDescent="0.3">
      <c r="B159" s="143" t="s">
        <v>154</v>
      </c>
      <c r="C159" s="143"/>
      <c r="D159" s="143" t="s">
        <v>155</v>
      </c>
      <c r="E159" s="142" t="s">
        <v>109</v>
      </c>
      <c r="F159" s="142" t="s">
        <v>81</v>
      </c>
      <c r="G159" s="144">
        <v>35700</v>
      </c>
      <c r="H159" s="242"/>
      <c r="I159" s="142">
        <v>12.9</v>
      </c>
      <c r="J159" s="142"/>
      <c r="K159" s="147"/>
      <c r="L159" s="142"/>
      <c r="M159" s="142"/>
      <c r="N159" s="142">
        <v>170</v>
      </c>
      <c r="O159" s="142">
        <v>125</v>
      </c>
      <c r="P159" s="147"/>
      <c r="Q159" s="147">
        <v>18.8</v>
      </c>
      <c r="R159" s="147"/>
      <c r="S159" s="142"/>
      <c r="T159" s="142"/>
      <c r="U159" s="142"/>
      <c r="V159" s="142"/>
      <c r="W159" s="142"/>
      <c r="X159" s="144">
        <v>1195</v>
      </c>
      <c r="Y159" s="144"/>
      <c r="Z159" s="146" t="s">
        <v>156</v>
      </c>
      <c r="AA159" s="141"/>
    </row>
    <row r="160" spans="2:27" x14ac:dyDescent="0.3">
      <c r="B160" s="143" t="s">
        <v>157</v>
      </c>
      <c r="C160" s="143"/>
      <c r="D160" s="143" t="s">
        <v>155</v>
      </c>
      <c r="E160" s="142" t="s">
        <v>109</v>
      </c>
      <c r="F160" s="142" t="s">
        <v>81</v>
      </c>
      <c r="G160" s="144"/>
      <c r="H160" s="242">
        <v>627.25</v>
      </c>
      <c r="I160" s="142">
        <v>12.9</v>
      </c>
      <c r="J160" s="142"/>
      <c r="K160" s="147"/>
      <c r="L160" s="142"/>
      <c r="M160" s="142"/>
      <c r="N160" s="142">
        <v>170</v>
      </c>
      <c r="O160" s="142">
        <v>125</v>
      </c>
      <c r="P160" s="147"/>
      <c r="Q160" s="147">
        <v>18.8</v>
      </c>
      <c r="R160" s="147"/>
      <c r="S160" s="142"/>
      <c r="T160" s="142"/>
      <c r="U160" s="142"/>
      <c r="V160" s="142"/>
      <c r="W160" s="142"/>
      <c r="X160" s="144">
        <v>1195</v>
      </c>
      <c r="Y160" s="144"/>
      <c r="Z160" s="146" t="s">
        <v>156</v>
      </c>
      <c r="AA160" s="141"/>
    </row>
    <row r="161" spans="2:27" x14ac:dyDescent="0.3">
      <c r="B161" s="143" t="s">
        <v>158</v>
      </c>
      <c r="C161" s="143"/>
      <c r="D161" s="143" t="s">
        <v>155</v>
      </c>
      <c r="E161" s="142" t="s">
        <v>109</v>
      </c>
      <c r="F161" s="142" t="s">
        <v>81</v>
      </c>
      <c r="G161" s="144"/>
      <c r="H161" s="242">
        <v>871.06</v>
      </c>
      <c r="I161" s="142">
        <v>12.9</v>
      </c>
      <c r="J161" s="142">
        <v>0.6</v>
      </c>
      <c r="K161" s="147"/>
      <c r="L161" s="142"/>
      <c r="M161" s="142"/>
      <c r="N161" s="142">
        <v>170</v>
      </c>
      <c r="O161" s="142">
        <v>125</v>
      </c>
      <c r="P161" s="147"/>
      <c r="Q161" s="147">
        <v>18.8</v>
      </c>
      <c r="R161" s="147"/>
      <c r="S161" s="142"/>
      <c r="T161" s="142"/>
      <c r="U161" s="142"/>
      <c r="V161" s="142"/>
      <c r="W161" s="142"/>
      <c r="X161" s="144">
        <v>1195</v>
      </c>
      <c r="Y161" s="144"/>
      <c r="Z161" s="146" t="s">
        <v>156</v>
      </c>
      <c r="AA161" s="141"/>
    </row>
    <row r="162" spans="2:27" x14ac:dyDescent="0.3">
      <c r="B162" s="143" t="s">
        <v>159</v>
      </c>
      <c r="C162" s="143"/>
      <c r="D162" s="143" t="s">
        <v>142</v>
      </c>
      <c r="E162" s="142" t="s">
        <v>112</v>
      </c>
      <c r="F162" s="142" t="s">
        <v>81</v>
      </c>
      <c r="G162" s="144">
        <v>6990</v>
      </c>
      <c r="H162" s="242"/>
      <c r="I162" s="142">
        <v>5.8</v>
      </c>
      <c r="J162" s="184"/>
      <c r="K162" s="149"/>
      <c r="L162" s="184"/>
      <c r="M162" s="184"/>
      <c r="N162" s="142">
        <v>120</v>
      </c>
      <c r="O162" s="142">
        <v>4</v>
      </c>
      <c r="P162" s="147"/>
      <c r="Q162" s="147">
        <v>6.1</v>
      </c>
      <c r="R162" s="147"/>
      <c r="S162" s="142">
        <v>98</v>
      </c>
      <c r="T162" s="184"/>
      <c r="U162" s="145">
        <v>62</v>
      </c>
      <c r="V162" s="142"/>
      <c r="W162" s="142"/>
      <c r="X162" s="142">
        <v>548</v>
      </c>
      <c r="Y162" s="142">
        <v>685</v>
      </c>
      <c r="Z162" s="146" t="s">
        <v>160</v>
      </c>
      <c r="AA162" s="141"/>
    </row>
    <row r="163" spans="2:27" x14ac:dyDescent="0.3">
      <c r="B163" s="143" t="s">
        <v>161</v>
      </c>
      <c r="C163" s="143"/>
      <c r="D163" s="143" t="s">
        <v>142</v>
      </c>
      <c r="E163" s="142" t="s">
        <v>112</v>
      </c>
      <c r="F163" s="142" t="s">
        <v>81</v>
      </c>
      <c r="G163" s="144">
        <v>7690</v>
      </c>
      <c r="H163" s="242"/>
      <c r="I163" s="142">
        <v>6.3</v>
      </c>
      <c r="J163" s="184"/>
      <c r="K163" s="149"/>
      <c r="L163" s="184"/>
      <c r="M163" s="184"/>
      <c r="N163" s="142">
        <v>100</v>
      </c>
      <c r="O163" s="142">
        <v>13</v>
      </c>
      <c r="P163" s="147"/>
      <c r="Q163" s="147">
        <v>6.1</v>
      </c>
      <c r="R163" s="147"/>
      <c r="S163" s="142">
        <v>98</v>
      </c>
      <c r="T163" s="184"/>
      <c r="U163" s="145">
        <v>62</v>
      </c>
      <c r="V163" s="142"/>
      <c r="W163" s="142"/>
      <c r="X163" s="142">
        <v>562</v>
      </c>
      <c r="Y163" s="142">
        <v>690</v>
      </c>
      <c r="Z163" s="146" t="s">
        <v>162</v>
      </c>
      <c r="AA163" s="141"/>
    </row>
    <row r="164" spans="2:27" x14ac:dyDescent="0.3">
      <c r="B164" s="143" t="s">
        <v>163</v>
      </c>
      <c r="C164" s="143"/>
      <c r="D164" s="143" t="s">
        <v>164</v>
      </c>
      <c r="E164" s="142" t="s">
        <v>109</v>
      </c>
      <c r="F164" s="142" t="s">
        <v>81</v>
      </c>
      <c r="G164" s="144">
        <v>75340</v>
      </c>
      <c r="H164" s="144"/>
      <c r="I164" s="142">
        <v>23.6</v>
      </c>
      <c r="J164" s="184"/>
      <c r="K164" s="149"/>
      <c r="L164" s="184"/>
      <c r="M164" s="184"/>
      <c r="N164" s="142">
        <v>100</v>
      </c>
      <c r="O164" s="142">
        <v>270</v>
      </c>
      <c r="P164" s="147"/>
      <c r="Q164" s="147">
        <v>85</v>
      </c>
      <c r="R164" s="147"/>
      <c r="S164" s="142"/>
      <c r="T164" s="184"/>
      <c r="U164" s="145"/>
      <c r="V164" s="142"/>
      <c r="W164" s="142"/>
      <c r="X164" s="142">
        <v>2108</v>
      </c>
      <c r="Y164" s="142"/>
      <c r="Z164" s="146" t="s">
        <v>165</v>
      </c>
      <c r="AA164" s="141"/>
    </row>
    <row r="165" spans="2:27" x14ac:dyDescent="0.3">
      <c r="B165" s="143" t="s">
        <v>166</v>
      </c>
      <c r="C165" s="143"/>
      <c r="D165" s="143" t="s">
        <v>164</v>
      </c>
      <c r="E165" s="142" t="s">
        <v>109</v>
      </c>
      <c r="F165" s="142" t="s">
        <v>81</v>
      </c>
      <c r="G165" s="144">
        <v>85000</v>
      </c>
      <c r="H165" s="144"/>
      <c r="I165" s="142">
        <f>18*1.2</f>
        <v>21.599999999999998</v>
      </c>
      <c r="J165" s="184"/>
      <c r="K165" s="149"/>
      <c r="L165" s="184"/>
      <c r="M165" s="184"/>
      <c r="N165" s="142">
        <v>471</v>
      </c>
      <c r="O165" s="142">
        <v>278</v>
      </c>
      <c r="P165" s="147"/>
      <c r="Q165" s="147">
        <v>85</v>
      </c>
      <c r="R165" s="147"/>
      <c r="S165" s="142"/>
      <c r="T165" s="184"/>
      <c r="U165" s="145"/>
      <c r="V165" s="142"/>
      <c r="W165" s="142"/>
      <c r="X165" s="142">
        <v>2108</v>
      </c>
      <c r="Y165" s="142"/>
      <c r="Z165" s="146" t="s">
        <v>165</v>
      </c>
      <c r="AA165" s="141"/>
    </row>
    <row r="166" spans="2:27" x14ac:dyDescent="0.3">
      <c r="B166" s="143" t="s">
        <v>167</v>
      </c>
      <c r="C166" s="143"/>
      <c r="D166" s="143" t="s">
        <v>168</v>
      </c>
      <c r="E166" s="142" t="s">
        <v>109</v>
      </c>
      <c r="F166" s="142" t="s">
        <v>81</v>
      </c>
      <c r="G166" s="144">
        <v>31500</v>
      </c>
      <c r="H166" s="144"/>
      <c r="I166" s="142">
        <v>11.5</v>
      </c>
      <c r="J166" s="184"/>
      <c r="K166" s="149"/>
      <c r="L166" s="184"/>
      <c r="M166" s="184"/>
      <c r="N166" s="142">
        <v>280</v>
      </c>
      <c r="O166" s="142">
        <v>88</v>
      </c>
      <c r="P166" s="147"/>
      <c r="Q166" s="147">
        <v>28</v>
      </c>
      <c r="R166" s="147"/>
      <c r="S166" s="142"/>
      <c r="T166" s="184"/>
      <c r="U166" s="145"/>
      <c r="V166" s="142">
        <v>200</v>
      </c>
      <c r="W166" s="142">
        <f t="shared" ref="W166:W171" si="42">12*9.53</f>
        <v>114.35999999999999</v>
      </c>
      <c r="X166" s="142">
        <v>1475</v>
      </c>
      <c r="Y166" s="142">
        <v>1880</v>
      </c>
      <c r="Z166" s="146" t="s">
        <v>169</v>
      </c>
      <c r="AA166" s="141"/>
    </row>
    <row r="167" spans="2:27" x14ac:dyDescent="0.3">
      <c r="B167" s="143" t="s">
        <v>105</v>
      </c>
      <c r="C167" s="143"/>
      <c r="D167" s="143" t="s">
        <v>168</v>
      </c>
      <c r="E167" s="142" t="s">
        <v>109</v>
      </c>
      <c r="F167" s="142" t="s">
        <v>81</v>
      </c>
      <c r="G167" s="144">
        <v>24500</v>
      </c>
      <c r="H167" s="144"/>
      <c r="I167" s="142">
        <v>11.5</v>
      </c>
      <c r="J167" s="184"/>
      <c r="K167" s="149"/>
      <c r="L167" s="184"/>
      <c r="M167" s="184"/>
      <c r="N167" s="142">
        <v>280</v>
      </c>
      <c r="O167" s="142">
        <v>88</v>
      </c>
      <c r="P167" s="147"/>
      <c r="Q167" s="147">
        <v>28</v>
      </c>
      <c r="R167" s="147"/>
      <c r="S167" s="142"/>
      <c r="T167" s="184"/>
      <c r="U167" s="145"/>
      <c r="V167" s="142">
        <v>200</v>
      </c>
      <c r="W167" s="142">
        <f t="shared" si="42"/>
        <v>114.35999999999999</v>
      </c>
      <c r="X167" s="142">
        <v>1475</v>
      </c>
      <c r="Y167" s="142">
        <v>1880</v>
      </c>
      <c r="Z167" s="146" t="s">
        <v>169</v>
      </c>
      <c r="AA167" s="141"/>
    </row>
    <row r="168" spans="2:27" x14ac:dyDescent="0.3">
      <c r="B168" s="143" t="s">
        <v>170</v>
      </c>
      <c r="C168" s="143"/>
      <c r="D168" s="143" t="s">
        <v>168</v>
      </c>
      <c r="E168" s="142" t="s">
        <v>109</v>
      </c>
      <c r="F168" s="142" t="s">
        <v>81</v>
      </c>
      <c r="G168" s="144">
        <v>17500</v>
      </c>
      <c r="H168" s="144"/>
      <c r="I168" s="142">
        <v>11.5</v>
      </c>
      <c r="J168" s="184"/>
      <c r="K168" s="149"/>
      <c r="L168" s="184"/>
      <c r="M168" s="184"/>
      <c r="N168" s="142">
        <v>280</v>
      </c>
      <c r="O168" s="142">
        <v>88</v>
      </c>
      <c r="P168" s="147"/>
      <c r="Q168" s="147">
        <v>28</v>
      </c>
      <c r="R168" s="147"/>
      <c r="S168" s="142"/>
      <c r="T168" s="184"/>
      <c r="U168" s="145"/>
      <c r="V168" s="142">
        <v>200</v>
      </c>
      <c r="W168" s="142">
        <f t="shared" si="42"/>
        <v>114.35999999999999</v>
      </c>
      <c r="X168" s="142">
        <v>1475</v>
      </c>
      <c r="Y168" s="142">
        <v>1880</v>
      </c>
      <c r="Z168" s="146" t="s">
        <v>169</v>
      </c>
      <c r="AA168" s="141"/>
    </row>
    <row r="169" spans="2:27" x14ac:dyDescent="0.3">
      <c r="B169" s="143" t="s">
        <v>171</v>
      </c>
      <c r="C169" s="143"/>
      <c r="D169" s="143" t="s">
        <v>172</v>
      </c>
      <c r="E169" s="142" t="s">
        <v>109</v>
      </c>
      <c r="F169" s="142" t="s">
        <v>81</v>
      </c>
      <c r="G169" s="144">
        <f>46200-5400</f>
        <v>40800</v>
      </c>
      <c r="H169" s="144"/>
      <c r="I169" s="142">
        <v>15.8</v>
      </c>
      <c r="J169" s="184"/>
      <c r="K169" s="149"/>
      <c r="L169" s="184"/>
      <c r="M169" s="184"/>
      <c r="N169" s="142">
        <v>409</v>
      </c>
      <c r="O169" s="142">
        <v>132</v>
      </c>
      <c r="P169" s="147"/>
      <c r="Q169" s="147">
        <v>58</v>
      </c>
      <c r="R169" s="147"/>
      <c r="S169" s="142"/>
      <c r="T169" s="184"/>
      <c r="U169" s="145"/>
      <c r="V169" s="142">
        <v>200</v>
      </c>
      <c r="W169" s="142">
        <f t="shared" si="42"/>
        <v>114.35999999999999</v>
      </c>
      <c r="X169" s="142">
        <v>1992</v>
      </c>
      <c r="Y169" s="142">
        <v>2500</v>
      </c>
      <c r="Z169" s="146" t="s">
        <v>173</v>
      </c>
      <c r="AA169" s="141"/>
    </row>
    <row r="170" spans="2:27" x14ac:dyDescent="0.3">
      <c r="B170" s="143" t="s">
        <v>174</v>
      </c>
      <c r="C170" s="143"/>
      <c r="D170" s="143" t="s">
        <v>175</v>
      </c>
      <c r="E170" s="142" t="s">
        <v>109</v>
      </c>
      <c r="F170" s="142" t="s">
        <v>81</v>
      </c>
      <c r="G170" s="144">
        <f>37450-1800-2500</f>
        <v>33150</v>
      </c>
      <c r="H170" s="144"/>
      <c r="I170" s="142">
        <v>14.6</v>
      </c>
      <c r="J170" s="184"/>
      <c r="K170" s="149"/>
      <c r="L170" s="184"/>
      <c r="M170" s="184"/>
      <c r="N170" s="142">
        <v>350</v>
      </c>
      <c r="O170" s="142">
        <v>110</v>
      </c>
      <c r="P170" s="147"/>
      <c r="Q170" s="147">
        <v>40</v>
      </c>
      <c r="R170" s="147"/>
      <c r="S170" s="142"/>
      <c r="T170" s="184"/>
      <c r="U170" s="145"/>
      <c r="V170" s="142">
        <v>200</v>
      </c>
      <c r="W170" s="142">
        <f t="shared" si="42"/>
        <v>114.35999999999999</v>
      </c>
      <c r="X170" s="142">
        <v>1580</v>
      </c>
      <c r="Y170" s="142">
        <v>1995</v>
      </c>
      <c r="Z170" s="146" t="s">
        <v>176</v>
      </c>
      <c r="AA170" s="141"/>
    </row>
    <row r="171" spans="2:27" x14ac:dyDescent="0.3">
      <c r="B171" s="143" t="s">
        <v>177</v>
      </c>
      <c r="C171" s="143"/>
      <c r="D171" s="143" t="s">
        <v>175</v>
      </c>
      <c r="E171" s="142" t="s">
        <v>109</v>
      </c>
      <c r="F171" s="142" t="s">
        <v>81</v>
      </c>
      <c r="G171" s="144">
        <f>37450-1800-2500-8000</f>
        <v>25150</v>
      </c>
      <c r="H171" s="144"/>
      <c r="I171" s="142">
        <v>14.6</v>
      </c>
      <c r="J171" s="184"/>
      <c r="K171" s="149"/>
      <c r="L171" s="184"/>
      <c r="M171" s="184"/>
      <c r="N171" s="142">
        <v>350</v>
      </c>
      <c r="O171" s="142">
        <v>110</v>
      </c>
      <c r="P171" s="147"/>
      <c r="Q171" s="147">
        <v>40</v>
      </c>
      <c r="R171" s="147"/>
      <c r="S171" s="142"/>
      <c r="T171" s="184"/>
      <c r="U171" s="145"/>
      <c r="V171" s="142">
        <v>200</v>
      </c>
      <c r="W171" s="142">
        <f t="shared" si="42"/>
        <v>114.35999999999999</v>
      </c>
      <c r="X171" s="142">
        <v>1580</v>
      </c>
      <c r="Y171" s="142">
        <v>1995</v>
      </c>
      <c r="Z171" s="146" t="s">
        <v>176</v>
      </c>
      <c r="AA171" s="141"/>
    </row>
    <row r="172" spans="2:27" x14ac:dyDescent="0.3">
      <c r="B172" s="143" t="s">
        <v>178</v>
      </c>
      <c r="C172" s="143"/>
      <c r="D172" s="143" t="s">
        <v>164</v>
      </c>
      <c r="E172" s="142" t="s">
        <v>109</v>
      </c>
      <c r="F172" s="142" t="s">
        <v>81</v>
      </c>
      <c r="G172" s="144">
        <v>93600</v>
      </c>
      <c r="H172" s="144"/>
      <c r="I172" s="142">
        <f>18*1.2</f>
        <v>21.599999999999998</v>
      </c>
      <c r="J172" s="184"/>
      <c r="K172" s="149"/>
      <c r="L172" s="184"/>
      <c r="M172" s="184"/>
      <c r="N172" s="142">
        <v>528</v>
      </c>
      <c r="O172" s="142">
        <v>310</v>
      </c>
      <c r="P172" s="147"/>
      <c r="Q172" s="147">
        <v>85</v>
      </c>
      <c r="R172" s="147"/>
      <c r="S172" s="142"/>
      <c r="T172" s="184"/>
      <c r="U172" s="145"/>
      <c r="V172" s="142"/>
      <c r="W172" s="142"/>
      <c r="X172" s="142">
        <v>2108</v>
      </c>
      <c r="Y172" s="142"/>
      <c r="Z172" s="146" t="s">
        <v>165</v>
      </c>
      <c r="AA172" s="141"/>
    </row>
    <row r="173" spans="2:27" x14ac:dyDescent="0.3">
      <c r="B173" s="143" t="s">
        <v>179</v>
      </c>
      <c r="C173" s="143"/>
      <c r="D173" s="143" t="s">
        <v>180</v>
      </c>
      <c r="E173" s="142" t="s">
        <v>109</v>
      </c>
      <c r="F173" s="142" t="s">
        <v>81</v>
      </c>
      <c r="G173" s="144">
        <v>34990</v>
      </c>
      <c r="H173" s="242"/>
      <c r="I173" s="142">
        <v>12.7</v>
      </c>
      <c r="J173" s="184"/>
      <c r="K173" s="149"/>
      <c r="L173" s="184"/>
      <c r="M173" s="184"/>
      <c r="N173" s="142">
        <v>130</v>
      </c>
      <c r="O173" s="142">
        <v>85</v>
      </c>
      <c r="P173" s="147"/>
      <c r="Q173" s="147">
        <v>24.2</v>
      </c>
      <c r="R173" s="147"/>
      <c r="S173" s="142">
        <v>318</v>
      </c>
      <c r="T173" s="184"/>
      <c r="U173" s="145"/>
      <c r="V173" s="142"/>
      <c r="W173" s="142"/>
      <c r="X173" s="142">
        <v>1585</v>
      </c>
      <c r="Y173" s="142">
        <v>1960</v>
      </c>
      <c r="Z173" s="146" t="s">
        <v>181</v>
      </c>
      <c r="AA173" s="141"/>
    </row>
    <row r="174" spans="2:27" x14ac:dyDescent="0.3">
      <c r="B174" s="143"/>
      <c r="C174" s="143"/>
      <c r="D174" s="143"/>
      <c r="E174" s="142"/>
      <c r="F174" s="142"/>
      <c r="G174" s="144"/>
      <c r="H174" s="242"/>
      <c r="I174" s="142"/>
      <c r="J174" s="142"/>
      <c r="K174" s="142"/>
      <c r="L174" s="142"/>
      <c r="M174" s="142"/>
      <c r="N174" s="142"/>
      <c r="O174" s="142"/>
      <c r="P174" s="147"/>
      <c r="Q174" s="147"/>
      <c r="R174" s="147"/>
      <c r="S174" s="142"/>
      <c r="T174" s="184"/>
      <c r="U174" s="145"/>
      <c r="V174" s="142"/>
      <c r="W174" s="142"/>
      <c r="X174" s="142"/>
      <c r="Y174" s="142"/>
      <c r="Z174" s="146"/>
      <c r="AA174" s="141"/>
    </row>
    <row r="175" spans="2:27" x14ac:dyDescent="0.3">
      <c r="B175" s="219" t="s">
        <v>182</v>
      </c>
      <c r="C175" s="219"/>
      <c r="D175" s="219" t="s">
        <v>135</v>
      </c>
      <c r="E175" s="142" t="s">
        <v>109</v>
      </c>
      <c r="F175" s="199" t="s">
        <v>111</v>
      </c>
      <c r="G175" s="220">
        <v>9150</v>
      </c>
      <c r="H175" s="243"/>
      <c r="I175" s="199"/>
      <c r="J175" s="199">
        <v>5.3</v>
      </c>
      <c r="K175" s="199">
        <v>8.9</v>
      </c>
      <c r="L175" s="199">
        <v>104</v>
      </c>
      <c r="M175" s="199"/>
      <c r="N175" s="220">
        <f>T175/J175*100</f>
        <v>660.37735849056605</v>
      </c>
      <c r="O175" s="199">
        <v>50</v>
      </c>
      <c r="P175" s="199"/>
      <c r="Q175" s="199"/>
      <c r="R175" s="199"/>
      <c r="S175" s="199"/>
      <c r="T175" s="199">
        <v>35</v>
      </c>
      <c r="U175" s="221"/>
      <c r="V175" s="199">
        <v>500</v>
      </c>
      <c r="W175" s="199"/>
      <c r="X175" s="220">
        <v>850</v>
      </c>
      <c r="Y175" s="220">
        <v>1190</v>
      </c>
      <c r="Z175" s="222"/>
      <c r="AA175" s="141"/>
    </row>
    <row r="176" spans="2:27" x14ac:dyDescent="0.3">
      <c r="B176" s="143" t="s">
        <v>183</v>
      </c>
      <c r="C176" s="143"/>
      <c r="D176" s="143" t="s">
        <v>184</v>
      </c>
      <c r="E176" s="142" t="s">
        <v>109</v>
      </c>
      <c r="F176" s="142" t="s">
        <v>111</v>
      </c>
      <c r="G176" s="144">
        <v>11650</v>
      </c>
      <c r="H176" s="242"/>
      <c r="I176" s="142"/>
      <c r="J176" s="142">
        <v>4.2</v>
      </c>
      <c r="K176" s="147">
        <v>8.9</v>
      </c>
      <c r="L176" s="142">
        <v>98</v>
      </c>
      <c r="M176" s="142"/>
      <c r="N176" s="142"/>
      <c r="O176" s="142">
        <v>55</v>
      </c>
      <c r="P176" s="147"/>
      <c r="Q176" s="147"/>
      <c r="R176" s="147"/>
      <c r="S176" s="142"/>
      <c r="T176" s="184"/>
      <c r="U176" s="145"/>
      <c r="V176" s="142">
        <v>200</v>
      </c>
      <c r="W176" s="142"/>
      <c r="X176" s="142">
        <v>940</v>
      </c>
      <c r="Y176" s="142">
        <v>1290</v>
      </c>
      <c r="Z176" s="146" t="s">
        <v>185</v>
      </c>
      <c r="AA176" s="141"/>
    </row>
    <row r="177" spans="2:27" x14ac:dyDescent="0.3">
      <c r="B177" s="143" t="s">
        <v>186</v>
      </c>
      <c r="C177" s="143"/>
      <c r="D177" s="143" t="s">
        <v>187</v>
      </c>
      <c r="E177" s="142" t="s">
        <v>109</v>
      </c>
      <c r="F177" s="142" t="s">
        <v>111</v>
      </c>
      <c r="G177" s="144">
        <v>33280</v>
      </c>
      <c r="H177" s="144"/>
      <c r="I177" s="142"/>
      <c r="J177" s="142">
        <v>4.8</v>
      </c>
      <c r="K177" s="147">
        <v>8.9</v>
      </c>
      <c r="L177" s="142">
        <v>110</v>
      </c>
      <c r="M177" s="142"/>
      <c r="N177" s="142"/>
      <c r="O177" s="142">
        <v>110</v>
      </c>
      <c r="P177" s="147"/>
      <c r="Q177" s="147"/>
      <c r="R177" s="147"/>
      <c r="S177" s="142"/>
      <c r="T177" s="184"/>
      <c r="U177" s="145"/>
      <c r="V177" s="142">
        <v>600</v>
      </c>
      <c r="W177" s="142">
        <f>12*9.53</f>
        <v>114.35999999999999</v>
      </c>
      <c r="X177" s="142">
        <v>1315</v>
      </c>
      <c r="Y177" s="142">
        <v>1800</v>
      </c>
      <c r="Z177" s="146" t="s">
        <v>188</v>
      </c>
      <c r="AA177" s="141"/>
    </row>
    <row r="178" spans="2:27" x14ac:dyDescent="0.3">
      <c r="B178" s="143" t="s">
        <v>189</v>
      </c>
      <c r="C178" s="143"/>
      <c r="D178" s="143" t="s">
        <v>187</v>
      </c>
      <c r="E178" s="142" t="s">
        <v>109</v>
      </c>
      <c r="F178" s="142" t="s">
        <v>111</v>
      </c>
      <c r="G178" s="144">
        <v>67090</v>
      </c>
      <c r="H178" s="144"/>
      <c r="I178" s="142"/>
      <c r="J178" s="142">
        <v>7.4</v>
      </c>
      <c r="K178" s="147">
        <v>8.9</v>
      </c>
      <c r="L178" s="142">
        <v>172</v>
      </c>
      <c r="M178" s="142"/>
      <c r="N178" s="142"/>
      <c r="O178" s="142">
        <v>245</v>
      </c>
      <c r="P178" s="147"/>
      <c r="Q178" s="147"/>
      <c r="R178" s="147"/>
      <c r="S178" s="142"/>
      <c r="T178" s="184"/>
      <c r="U178" s="145"/>
      <c r="V178" s="142">
        <v>600</v>
      </c>
      <c r="W178" s="142"/>
      <c r="X178" s="142">
        <v>1825</v>
      </c>
      <c r="Y178" s="142">
        <v>2360</v>
      </c>
      <c r="Z178" s="146" t="s">
        <v>190</v>
      </c>
      <c r="AA178" s="141"/>
    </row>
    <row r="179" spans="2:27" x14ac:dyDescent="0.3">
      <c r="B179" s="143" t="s">
        <v>191</v>
      </c>
      <c r="C179" s="143"/>
      <c r="D179" s="143" t="s">
        <v>187</v>
      </c>
      <c r="E179" s="142" t="s">
        <v>109</v>
      </c>
      <c r="F179" s="142" t="s">
        <v>111</v>
      </c>
      <c r="G179" s="144">
        <v>47410</v>
      </c>
      <c r="H179" s="144"/>
      <c r="I179" s="142"/>
      <c r="J179" s="142">
        <v>6.5</v>
      </c>
      <c r="K179" s="147">
        <v>8.9</v>
      </c>
      <c r="L179" s="142">
        <v>149</v>
      </c>
      <c r="M179" s="142"/>
      <c r="N179" s="142"/>
      <c r="O179" s="142">
        <v>132</v>
      </c>
      <c r="P179" s="147"/>
      <c r="Q179" s="147"/>
      <c r="R179" s="147"/>
      <c r="S179" s="142"/>
      <c r="T179" s="184"/>
      <c r="U179" s="145"/>
      <c r="V179" s="142">
        <v>600</v>
      </c>
      <c r="W179" s="142"/>
      <c r="X179" s="142">
        <v>1650</v>
      </c>
      <c r="Y179" s="142">
        <v>2155</v>
      </c>
      <c r="Z179" s="146" t="s">
        <v>192</v>
      </c>
      <c r="AA179" s="141"/>
    </row>
    <row r="180" spans="2:27" x14ac:dyDescent="0.3">
      <c r="B180" s="143"/>
      <c r="C180" s="143"/>
      <c r="D180" s="143"/>
      <c r="E180" s="142"/>
      <c r="F180" s="142"/>
      <c r="G180" s="144"/>
      <c r="H180" s="242"/>
      <c r="I180" s="142"/>
      <c r="J180" s="142"/>
      <c r="K180" s="147"/>
      <c r="L180" s="142"/>
      <c r="M180" s="142"/>
      <c r="N180" s="142"/>
      <c r="O180" s="142"/>
      <c r="P180" s="147"/>
      <c r="Q180" s="147"/>
      <c r="R180" s="147"/>
      <c r="S180" s="142"/>
      <c r="T180" s="184"/>
      <c r="U180" s="145"/>
      <c r="V180" s="142"/>
      <c r="W180" s="142"/>
      <c r="X180" s="142"/>
      <c r="Y180" s="142"/>
      <c r="Z180" s="146"/>
      <c r="AA180" s="141"/>
    </row>
    <row r="181" spans="2:27" x14ac:dyDescent="0.3">
      <c r="B181" s="143" t="s">
        <v>193</v>
      </c>
      <c r="C181" s="143"/>
      <c r="D181" s="143" t="s">
        <v>194</v>
      </c>
      <c r="E181" s="142" t="s">
        <v>109</v>
      </c>
      <c r="F181" s="142" t="s">
        <v>113</v>
      </c>
      <c r="G181" s="144">
        <v>19548</v>
      </c>
      <c r="H181" s="242"/>
      <c r="I181" s="142"/>
      <c r="J181" s="147">
        <v>6</v>
      </c>
      <c r="K181" s="147">
        <v>9.8000000000000007</v>
      </c>
      <c r="L181" s="142"/>
      <c r="M181" s="142"/>
      <c r="N181" s="142"/>
      <c r="O181" s="142">
        <v>66</v>
      </c>
      <c r="P181" s="147"/>
      <c r="Q181" s="147"/>
      <c r="R181" s="147"/>
      <c r="S181" s="142"/>
      <c r="T181" s="184"/>
      <c r="U181" s="145"/>
      <c r="V181" s="142"/>
      <c r="W181" s="142"/>
      <c r="X181" s="142"/>
      <c r="Y181" s="142"/>
      <c r="Z181" s="146"/>
      <c r="AA181" s="141"/>
    </row>
    <row r="182" spans="2:27" x14ac:dyDescent="0.3">
      <c r="B182" s="143" t="s">
        <v>32</v>
      </c>
      <c r="C182" s="143"/>
      <c r="D182" s="143" t="s">
        <v>184</v>
      </c>
      <c r="E182" s="142" t="s">
        <v>109</v>
      </c>
      <c r="F182" s="142" t="s">
        <v>113</v>
      </c>
      <c r="G182" s="144">
        <v>24250</v>
      </c>
      <c r="H182" s="242"/>
      <c r="I182" s="142"/>
      <c r="J182" s="142">
        <v>3.8</v>
      </c>
      <c r="K182" s="147">
        <v>9.8000000000000007</v>
      </c>
      <c r="L182" s="142">
        <v>99</v>
      </c>
      <c r="M182" s="142"/>
      <c r="N182" s="142"/>
      <c r="O182" s="142">
        <v>77</v>
      </c>
      <c r="P182" s="147"/>
      <c r="Q182" s="147"/>
      <c r="R182" s="147"/>
      <c r="S182" s="142"/>
      <c r="T182" s="184"/>
      <c r="U182" s="145"/>
      <c r="V182" s="142">
        <v>300</v>
      </c>
      <c r="W182" s="142"/>
      <c r="X182" s="142">
        <v>1295</v>
      </c>
      <c r="Y182" s="142">
        <v>1800</v>
      </c>
      <c r="Z182" s="146" t="s">
        <v>195</v>
      </c>
      <c r="AA182" s="141"/>
    </row>
    <row r="183" spans="2:27" x14ac:dyDescent="0.3">
      <c r="B183" s="143" t="s">
        <v>196</v>
      </c>
      <c r="C183" s="143"/>
      <c r="D183" s="143" t="s">
        <v>184</v>
      </c>
      <c r="E183" s="142" t="s">
        <v>109</v>
      </c>
      <c r="F183" s="142" t="s">
        <v>111</v>
      </c>
      <c r="G183" s="144">
        <v>31000</v>
      </c>
      <c r="H183" s="242"/>
      <c r="I183" s="142"/>
      <c r="J183" s="142">
        <v>6.4</v>
      </c>
      <c r="K183" s="147">
        <v>9.8000000000000007</v>
      </c>
      <c r="L183" s="142">
        <v>160</v>
      </c>
      <c r="M183" s="142"/>
      <c r="N183" s="142"/>
      <c r="O183" s="142">
        <v>110</v>
      </c>
      <c r="P183" s="147"/>
      <c r="Q183" s="147"/>
      <c r="R183" s="147"/>
      <c r="S183" s="142"/>
      <c r="T183" s="184"/>
      <c r="U183" s="145"/>
      <c r="V183" s="142">
        <v>300</v>
      </c>
      <c r="W183" s="142">
        <f>12*9.53</f>
        <v>114.35999999999999</v>
      </c>
      <c r="X183" s="142">
        <v>1519</v>
      </c>
      <c r="Y183" s="142">
        <v>2110</v>
      </c>
      <c r="Z183" s="146" t="s">
        <v>197</v>
      </c>
      <c r="AA183" s="141"/>
    </row>
    <row r="184" spans="2:27" x14ac:dyDescent="0.3">
      <c r="B184" s="143" t="s">
        <v>198</v>
      </c>
      <c r="C184" s="143"/>
      <c r="D184" s="143" t="s">
        <v>199</v>
      </c>
      <c r="E184" s="142" t="s">
        <v>109</v>
      </c>
      <c r="F184" s="142" t="s">
        <v>111</v>
      </c>
      <c r="G184" s="144">
        <v>65200</v>
      </c>
      <c r="H184" s="242"/>
      <c r="I184" s="142"/>
      <c r="J184" s="147">
        <f>(9.4+5.5+6.9)/3</f>
        <v>7.2666666666666666</v>
      </c>
      <c r="K184" s="147">
        <v>8.9</v>
      </c>
      <c r="L184" s="142">
        <v>161</v>
      </c>
      <c r="M184" s="142"/>
      <c r="N184" s="142"/>
      <c r="O184" s="142">
        <v>245</v>
      </c>
      <c r="P184" s="147"/>
      <c r="Q184" s="147"/>
      <c r="R184" s="147"/>
      <c r="S184" s="142"/>
      <c r="T184" s="184"/>
      <c r="U184" s="145"/>
      <c r="V184" s="142">
        <v>600</v>
      </c>
      <c r="W184" s="142"/>
      <c r="X184" s="142">
        <v>1785</v>
      </c>
      <c r="Y184" s="142">
        <v>2360</v>
      </c>
      <c r="Z184" s="146" t="s">
        <v>200</v>
      </c>
      <c r="AA184" s="141"/>
    </row>
    <row r="185" spans="2:27" x14ac:dyDescent="0.3">
      <c r="B185" s="143" t="s">
        <v>201</v>
      </c>
      <c r="C185" s="143"/>
      <c r="D185" s="143" t="s">
        <v>184</v>
      </c>
      <c r="E185" s="142" t="s">
        <v>109</v>
      </c>
      <c r="F185" s="142" t="s">
        <v>113</v>
      </c>
      <c r="G185" s="144">
        <v>23190</v>
      </c>
      <c r="H185" s="242"/>
      <c r="I185" s="142"/>
      <c r="J185" s="142">
        <v>6.5</v>
      </c>
      <c r="K185" s="147">
        <v>9.8000000000000007</v>
      </c>
      <c r="L185" s="142"/>
      <c r="M185" s="142"/>
      <c r="N185" s="142"/>
      <c r="O185" s="142">
        <v>77</v>
      </c>
      <c r="P185" s="147"/>
      <c r="Q185" s="147"/>
      <c r="R185" s="147"/>
      <c r="S185" s="142"/>
      <c r="T185" s="184"/>
      <c r="U185" s="145"/>
      <c r="V185" s="142">
        <v>300</v>
      </c>
      <c r="W185" s="142"/>
      <c r="X185" s="142"/>
      <c r="Y185" s="142"/>
      <c r="Z185" s="146"/>
      <c r="AA185" s="141"/>
    </row>
    <row r="186" spans="2:27" x14ac:dyDescent="0.3">
      <c r="B186" s="143" t="s">
        <v>202</v>
      </c>
      <c r="C186" s="143"/>
      <c r="D186" s="143" t="s">
        <v>142</v>
      </c>
      <c r="E186" s="142" t="s">
        <v>109</v>
      </c>
      <c r="F186" s="142" t="s">
        <v>113</v>
      </c>
      <c r="G186" s="144">
        <v>23490</v>
      </c>
      <c r="H186" s="242"/>
      <c r="I186" s="142"/>
      <c r="J186" s="142">
        <v>4.0999999999999996</v>
      </c>
      <c r="K186" s="147">
        <v>9.8000000000000007</v>
      </c>
      <c r="L186" s="142">
        <v>90</v>
      </c>
      <c r="M186" s="142"/>
      <c r="N186" s="142"/>
      <c r="O186" s="142">
        <v>81</v>
      </c>
      <c r="P186" s="147"/>
      <c r="Q186" s="147"/>
      <c r="R186" s="147"/>
      <c r="S186" s="142"/>
      <c r="T186" s="142">
        <v>60</v>
      </c>
      <c r="U186" s="145"/>
      <c r="V186" s="142"/>
      <c r="W186" s="142"/>
      <c r="X186" s="142"/>
      <c r="Y186" s="142"/>
      <c r="Z186" s="146"/>
      <c r="AA186" s="141"/>
    </row>
    <row r="187" spans="2:27" x14ac:dyDescent="0.3">
      <c r="B187" s="143" t="s">
        <v>203</v>
      </c>
      <c r="C187" s="143"/>
      <c r="D187" s="143" t="s">
        <v>142</v>
      </c>
      <c r="E187" s="142" t="s">
        <v>109</v>
      </c>
      <c r="F187" s="142" t="s">
        <v>113</v>
      </c>
      <c r="G187" s="144"/>
      <c r="H187" s="242">
        <v>622.71</v>
      </c>
      <c r="I187" s="142"/>
      <c r="J187" s="142">
        <v>4.0999999999999996</v>
      </c>
      <c r="K187" s="147">
        <v>9.8000000000000007</v>
      </c>
      <c r="L187" s="142">
        <v>90</v>
      </c>
      <c r="M187" s="142"/>
      <c r="N187" s="142"/>
      <c r="O187" s="142">
        <v>81</v>
      </c>
      <c r="P187" s="147"/>
      <c r="Q187" s="147"/>
      <c r="R187" s="147"/>
      <c r="S187" s="142"/>
      <c r="T187" s="142">
        <v>60</v>
      </c>
      <c r="U187" s="145"/>
      <c r="V187" s="142"/>
      <c r="W187" s="142"/>
      <c r="X187" s="142"/>
      <c r="Y187" s="142"/>
      <c r="Z187" s="146"/>
      <c r="AA187" s="141"/>
    </row>
    <row r="188" spans="2:27" x14ac:dyDescent="0.3">
      <c r="B188" s="143" t="s">
        <v>204</v>
      </c>
      <c r="C188" s="143"/>
      <c r="D188" s="143" t="s">
        <v>155</v>
      </c>
      <c r="E188" s="142" t="s">
        <v>109</v>
      </c>
      <c r="F188" s="142" t="s">
        <v>111</v>
      </c>
      <c r="G188" s="144">
        <v>60950</v>
      </c>
      <c r="H188" s="242"/>
      <c r="I188" s="142"/>
      <c r="J188" s="142">
        <v>8</v>
      </c>
      <c r="K188" s="147">
        <v>9.8000000000000007</v>
      </c>
      <c r="L188" s="142">
        <v>186</v>
      </c>
      <c r="M188" s="142"/>
      <c r="N188" s="142"/>
      <c r="O188" s="142">
        <v>225</v>
      </c>
      <c r="P188" s="147"/>
      <c r="Q188" s="147"/>
      <c r="R188" s="147"/>
      <c r="S188" s="142"/>
      <c r="T188" s="142"/>
      <c r="U188" s="145"/>
      <c r="V188" s="142">
        <v>600</v>
      </c>
      <c r="W188" s="142"/>
      <c r="X188" s="142">
        <v>1750</v>
      </c>
      <c r="Y188" s="142">
        <v>2205</v>
      </c>
      <c r="Z188" s="146" t="s">
        <v>205</v>
      </c>
      <c r="AA188" s="141"/>
    </row>
    <row r="189" spans="2:27" x14ac:dyDescent="0.3">
      <c r="B189" s="143" t="s">
        <v>206</v>
      </c>
      <c r="C189" s="143"/>
      <c r="D189" s="143" t="s">
        <v>155</v>
      </c>
      <c r="E189" s="142" t="s">
        <v>109</v>
      </c>
      <c r="F189" s="142" t="s">
        <v>113</v>
      </c>
      <c r="G189" s="144">
        <v>26000</v>
      </c>
      <c r="H189" s="242"/>
      <c r="I189" s="142"/>
      <c r="J189" s="142">
        <v>4.0999999999999996</v>
      </c>
      <c r="K189" s="147">
        <v>9.8000000000000007</v>
      </c>
      <c r="L189" s="142">
        <v>109</v>
      </c>
      <c r="M189" s="142"/>
      <c r="N189" s="142"/>
      <c r="O189" s="142">
        <v>85</v>
      </c>
      <c r="P189" s="147"/>
      <c r="Q189" s="147"/>
      <c r="R189" s="147"/>
      <c r="S189" s="142"/>
      <c r="T189" s="142">
        <v>52</v>
      </c>
      <c r="U189" s="145"/>
      <c r="V189" s="142"/>
      <c r="W189" s="142"/>
      <c r="X189" s="142">
        <v>1395</v>
      </c>
      <c r="Y189" s="142">
        <v>1850</v>
      </c>
      <c r="Z189" s="146" t="s">
        <v>207</v>
      </c>
      <c r="AA189" s="141"/>
    </row>
    <row r="190" spans="2:27" x14ac:dyDescent="0.3">
      <c r="B190" s="143" t="s">
        <v>208</v>
      </c>
      <c r="C190" s="143"/>
      <c r="D190" s="143" t="s">
        <v>168</v>
      </c>
      <c r="E190" s="142" t="s">
        <v>109</v>
      </c>
      <c r="F190" s="142" t="s">
        <v>111</v>
      </c>
      <c r="G190" s="144">
        <v>22990</v>
      </c>
      <c r="H190" s="242"/>
      <c r="I190" s="142"/>
      <c r="J190" s="142">
        <v>5.5</v>
      </c>
      <c r="K190" s="147">
        <v>9.8000000000000007</v>
      </c>
      <c r="L190" s="142">
        <v>126</v>
      </c>
      <c r="M190" s="142"/>
      <c r="N190" s="142"/>
      <c r="O190" s="142">
        <v>88</v>
      </c>
      <c r="P190" s="147"/>
      <c r="Q190" s="147"/>
      <c r="R190" s="147"/>
      <c r="S190" s="142"/>
      <c r="T190" s="142">
        <v>50</v>
      </c>
      <c r="U190" s="145"/>
      <c r="V190" s="142">
        <v>400</v>
      </c>
      <c r="W190" s="142">
        <f>12*9.53</f>
        <v>114.35999999999999</v>
      </c>
      <c r="X190" s="142" t="s">
        <v>209</v>
      </c>
      <c r="Y190" s="142">
        <v>1840</v>
      </c>
      <c r="Z190" s="146" t="s">
        <v>210</v>
      </c>
      <c r="AA190" s="141"/>
    </row>
    <row r="191" spans="2:27" x14ac:dyDescent="0.3">
      <c r="B191" s="143" t="s">
        <v>211</v>
      </c>
      <c r="C191" s="143"/>
      <c r="D191" s="143" t="s">
        <v>168</v>
      </c>
      <c r="E191" s="142" t="s">
        <v>109</v>
      </c>
      <c r="F191" s="142" t="s">
        <v>111</v>
      </c>
      <c r="G191" s="144">
        <v>27490</v>
      </c>
      <c r="H191" s="242"/>
      <c r="I191" s="142"/>
      <c r="J191" s="142">
        <v>5.9</v>
      </c>
      <c r="K191" s="147">
        <v>9.8000000000000007</v>
      </c>
      <c r="L191" s="142">
        <v>134</v>
      </c>
      <c r="M191" s="142"/>
      <c r="N191" s="142"/>
      <c r="O191" s="142">
        <v>103</v>
      </c>
      <c r="P191" s="147"/>
      <c r="Q191" s="147"/>
      <c r="R191" s="147"/>
      <c r="S191" s="142"/>
      <c r="T191" s="142">
        <v>50</v>
      </c>
      <c r="U191" s="145"/>
      <c r="V191" s="142">
        <v>400</v>
      </c>
      <c r="W191" s="142">
        <f>12*9.53</f>
        <v>114.35999999999999</v>
      </c>
      <c r="X191" s="142" t="s">
        <v>209</v>
      </c>
      <c r="Y191" s="142">
        <v>1840</v>
      </c>
      <c r="Z191" s="146" t="s">
        <v>210</v>
      </c>
      <c r="AA191" s="141"/>
    </row>
    <row r="192" spans="2:27" x14ac:dyDescent="0.3">
      <c r="B192" s="143" t="s">
        <v>212</v>
      </c>
      <c r="C192" s="143"/>
      <c r="D192" s="143" t="s">
        <v>168</v>
      </c>
      <c r="E192" s="142" t="s">
        <v>109</v>
      </c>
      <c r="F192" s="142" t="s">
        <v>111</v>
      </c>
      <c r="G192" s="144">
        <v>12500</v>
      </c>
      <c r="H192" s="242"/>
      <c r="I192" s="142"/>
      <c r="J192" s="142">
        <v>5.9</v>
      </c>
      <c r="K192" s="147">
        <v>9.8000000000000007</v>
      </c>
      <c r="L192" s="142">
        <v>134</v>
      </c>
      <c r="M192" s="142"/>
      <c r="N192" s="142"/>
      <c r="O192" s="142">
        <v>103</v>
      </c>
      <c r="P192" s="147"/>
      <c r="Q192" s="147"/>
      <c r="R192" s="147"/>
      <c r="S192" s="142"/>
      <c r="T192" s="142">
        <v>50</v>
      </c>
      <c r="U192" s="145"/>
      <c r="V192" s="142">
        <v>400</v>
      </c>
      <c r="W192" s="142">
        <f>12*9.53</f>
        <v>114.35999999999999</v>
      </c>
      <c r="X192" s="142" t="s">
        <v>209</v>
      </c>
      <c r="Y192" s="142">
        <v>1840</v>
      </c>
      <c r="Z192" s="146" t="s">
        <v>210</v>
      </c>
      <c r="AA192" s="141"/>
    </row>
    <row r="193" spans="2:27" x14ac:dyDescent="0.3">
      <c r="B193" s="143" t="s">
        <v>213</v>
      </c>
      <c r="C193" s="143"/>
      <c r="D193" s="143" t="s">
        <v>168</v>
      </c>
      <c r="E193" s="142" t="s">
        <v>109</v>
      </c>
      <c r="F193" s="142" t="s">
        <v>111</v>
      </c>
      <c r="G193" s="144">
        <v>21490</v>
      </c>
      <c r="H193" s="242"/>
      <c r="I193" s="142"/>
      <c r="J193" s="142">
        <v>5.5</v>
      </c>
      <c r="K193" s="147">
        <v>9.8000000000000007</v>
      </c>
      <c r="L193" s="142">
        <v>126</v>
      </c>
      <c r="M193" s="142"/>
      <c r="N193" s="142"/>
      <c r="O193" s="142">
        <v>88</v>
      </c>
      <c r="P193" s="147"/>
      <c r="Q193" s="147"/>
      <c r="R193" s="147"/>
      <c r="S193" s="142"/>
      <c r="T193" s="142">
        <v>50</v>
      </c>
      <c r="U193" s="145"/>
      <c r="V193" s="142">
        <v>400</v>
      </c>
      <c r="W193" s="142">
        <f>12*9.53</f>
        <v>114.35999999999999</v>
      </c>
      <c r="X193" s="142" t="s">
        <v>209</v>
      </c>
      <c r="Y193" s="142">
        <v>1840</v>
      </c>
      <c r="Z193" s="146" t="s">
        <v>214</v>
      </c>
      <c r="AA193" s="141"/>
    </row>
    <row r="194" spans="2:27" x14ac:dyDescent="0.3">
      <c r="B194" s="143" t="s">
        <v>215</v>
      </c>
      <c r="C194" s="143"/>
      <c r="D194" s="143" t="s">
        <v>175</v>
      </c>
      <c r="E194" s="142" t="s">
        <v>109</v>
      </c>
      <c r="F194" s="142" t="s">
        <v>111</v>
      </c>
      <c r="G194" s="144">
        <v>28017</v>
      </c>
      <c r="H194" s="242"/>
      <c r="I194" s="142"/>
      <c r="J194" s="142">
        <v>5.8</v>
      </c>
      <c r="K194" s="147">
        <v>9.8000000000000007</v>
      </c>
      <c r="L194" s="142">
        <v>133</v>
      </c>
      <c r="M194" s="142"/>
      <c r="N194" s="142"/>
      <c r="O194" s="142">
        <v>85</v>
      </c>
      <c r="P194" s="147"/>
      <c r="Q194" s="147"/>
      <c r="R194" s="147"/>
      <c r="S194" s="142"/>
      <c r="T194" s="142">
        <v>50</v>
      </c>
      <c r="U194" s="145"/>
      <c r="V194" s="142">
        <v>400</v>
      </c>
      <c r="W194" s="142">
        <f>12*9.53</f>
        <v>114.35999999999999</v>
      </c>
      <c r="X194" s="142" t="s">
        <v>209</v>
      </c>
      <c r="Y194" s="142">
        <v>1840</v>
      </c>
      <c r="Z194" s="146" t="s">
        <v>216</v>
      </c>
      <c r="AA194" s="141"/>
    </row>
    <row r="195" spans="2:27" x14ac:dyDescent="0.3">
      <c r="B195" s="143" t="s">
        <v>217</v>
      </c>
      <c r="C195" s="143"/>
      <c r="D195" s="143" t="s">
        <v>155</v>
      </c>
      <c r="E195" s="142" t="s">
        <v>109</v>
      </c>
      <c r="F195" s="142" t="s">
        <v>113</v>
      </c>
      <c r="G195" s="144">
        <v>39231</v>
      </c>
      <c r="H195" s="242"/>
      <c r="I195" s="142"/>
      <c r="J195" s="142">
        <v>4.5</v>
      </c>
      <c r="K195" s="147">
        <v>9.8000000000000007</v>
      </c>
      <c r="L195" s="142">
        <v>119</v>
      </c>
      <c r="M195" s="142"/>
      <c r="N195" s="142"/>
      <c r="O195" s="142">
        <v>105</v>
      </c>
      <c r="P195" s="147"/>
      <c r="Q195" s="147"/>
      <c r="R195" s="147"/>
      <c r="S195" s="142"/>
      <c r="T195" s="142">
        <v>60</v>
      </c>
      <c r="U195" s="145"/>
      <c r="V195" s="142"/>
      <c r="W195" s="142"/>
      <c r="X195" s="142">
        <v>1550</v>
      </c>
      <c r="Y195" s="142">
        <v>2030</v>
      </c>
      <c r="Z195" s="146" t="s">
        <v>218</v>
      </c>
      <c r="AA195" s="141"/>
    </row>
    <row r="196" spans="2:27" x14ac:dyDescent="0.3">
      <c r="B196" s="143"/>
      <c r="C196" s="143"/>
      <c r="D196" s="143"/>
      <c r="E196" s="142"/>
      <c r="F196" s="142"/>
      <c r="G196" s="144"/>
      <c r="H196" s="242"/>
      <c r="I196" s="142"/>
      <c r="J196" s="142"/>
      <c r="K196" s="142"/>
      <c r="L196" s="142"/>
      <c r="M196" s="142"/>
      <c r="N196" s="142"/>
      <c r="O196" s="142"/>
      <c r="P196" s="142"/>
      <c r="Q196" s="142"/>
      <c r="R196" s="142"/>
      <c r="S196" s="142"/>
      <c r="T196" s="142"/>
      <c r="U196" s="145"/>
      <c r="V196" s="142"/>
      <c r="W196" s="142"/>
      <c r="X196" s="144"/>
      <c r="Y196" s="144"/>
      <c r="Z196" s="146"/>
      <c r="AA196" s="141" t="s">
        <v>133</v>
      </c>
    </row>
    <row r="197" spans="2:27" x14ac:dyDescent="0.3">
      <c r="B197" s="231" t="s">
        <v>219</v>
      </c>
      <c r="C197" s="231"/>
      <c r="D197" s="231" t="s">
        <v>164</v>
      </c>
      <c r="E197" s="232" t="s">
        <v>109</v>
      </c>
      <c r="F197" s="232" t="s">
        <v>81</v>
      </c>
      <c r="G197" s="233">
        <v>101700</v>
      </c>
      <c r="H197" s="244"/>
      <c r="I197" s="232">
        <v>23.6</v>
      </c>
      <c r="J197" s="234"/>
      <c r="K197" s="234"/>
      <c r="L197" s="234"/>
      <c r="M197" s="234"/>
      <c r="N197" s="234">
        <v>340</v>
      </c>
      <c r="O197" s="232">
        <v>225</v>
      </c>
      <c r="P197" s="232"/>
      <c r="Q197" s="232"/>
      <c r="R197" s="232"/>
      <c r="S197" s="232"/>
      <c r="T197" s="232"/>
      <c r="U197" s="235"/>
      <c r="V197" s="232"/>
      <c r="W197" s="232"/>
      <c r="X197" s="233">
        <v>1235</v>
      </c>
      <c r="Y197" s="233"/>
      <c r="Z197" s="236"/>
      <c r="AA197" s="141" t="s">
        <v>133</v>
      </c>
    </row>
    <row r="198" spans="2:27" x14ac:dyDescent="0.3">
      <c r="B198" s="231" t="s">
        <v>220</v>
      </c>
      <c r="C198" s="231"/>
      <c r="D198" s="231" t="s">
        <v>164</v>
      </c>
      <c r="E198" s="232" t="s">
        <v>109</v>
      </c>
      <c r="F198" s="232" t="s">
        <v>81</v>
      </c>
      <c r="G198" s="233">
        <v>119500</v>
      </c>
      <c r="H198" s="244"/>
      <c r="I198" s="232">
        <v>23.6</v>
      </c>
      <c r="J198" s="232"/>
      <c r="K198" s="232"/>
      <c r="L198" s="232"/>
      <c r="M198" s="232"/>
      <c r="N198" s="232">
        <v>340</v>
      </c>
      <c r="O198" s="232">
        <v>223</v>
      </c>
      <c r="P198" s="232"/>
      <c r="Q198" s="232"/>
      <c r="R198" s="232"/>
      <c r="S198" s="232"/>
      <c r="T198" s="232"/>
      <c r="U198" s="235"/>
      <c r="V198" s="232"/>
      <c r="W198" s="232"/>
      <c r="X198" s="233">
        <v>1235</v>
      </c>
      <c r="Y198" s="233"/>
      <c r="Z198" s="236"/>
      <c r="AA198" s="141" t="s">
        <v>133</v>
      </c>
    </row>
    <row r="199" spans="2:27" x14ac:dyDescent="0.3">
      <c r="B199" s="231" t="s">
        <v>221</v>
      </c>
      <c r="C199" s="231"/>
      <c r="D199" s="231" t="s">
        <v>164</v>
      </c>
      <c r="E199" s="232" t="s">
        <v>109</v>
      </c>
      <c r="F199" s="232" t="s">
        <v>81</v>
      </c>
      <c r="G199" s="233"/>
      <c r="H199" s="244"/>
      <c r="I199" s="232">
        <v>23.6</v>
      </c>
      <c r="J199" s="232"/>
      <c r="K199" s="232"/>
      <c r="L199" s="232"/>
      <c r="M199" s="232"/>
      <c r="N199" s="232">
        <v>340</v>
      </c>
      <c r="O199" s="232"/>
      <c r="P199" s="232"/>
      <c r="Q199" s="232">
        <v>40</v>
      </c>
      <c r="R199" s="232"/>
      <c r="S199" s="232">
        <v>408</v>
      </c>
      <c r="T199" s="232"/>
      <c r="U199" s="235"/>
      <c r="V199" s="232"/>
      <c r="W199" s="232"/>
      <c r="X199" s="233"/>
      <c r="Y199" s="233"/>
      <c r="Z199" s="236"/>
      <c r="AA199" s="141" t="s">
        <v>133</v>
      </c>
    </row>
    <row r="200" spans="2:27" x14ac:dyDescent="0.3">
      <c r="I200" s="1"/>
      <c r="J200" s="1"/>
    </row>
    <row r="207" spans="2:27" x14ac:dyDescent="0.3">
      <c r="B207" s="1" t="s">
        <v>222</v>
      </c>
    </row>
    <row r="208" spans="2:27" x14ac:dyDescent="0.3">
      <c r="L208" s="1" t="s">
        <v>223</v>
      </c>
    </row>
    <row r="209" spans="2:12" ht="14.6" x14ac:dyDescent="0.4">
      <c r="B209" s="51" t="s">
        <v>224</v>
      </c>
      <c r="C209" s="51"/>
      <c r="D209" s="51"/>
      <c r="E209" s="51"/>
      <c r="F209" s="227" t="s">
        <v>225</v>
      </c>
      <c r="G209" s="51"/>
      <c r="H209" s="51"/>
      <c r="I209" s="228">
        <v>13035</v>
      </c>
      <c r="J209" s="229">
        <v>4.3</v>
      </c>
      <c r="K209" s="230" t="s">
        <v>226</v>
      </c>
    </row>
    <row r="210" spans="2:12" x14ac:dyDescent="0.3">
      <c r="B210" s="51"/>
      <c r="C210" s="51"/>
      <c r="D210" s="51"/>
      <c r="E210" s="51"/>
      <c r="F210" s="51"/>
      <c r="G210" s="51"/>
      <c r="H210" s="51"/>
      <c r="I210" s="51"/>
      <c r="J210" s="51"/>
    </row>
    <row r="211" spans="2:12" x14ac:dyDescent="0.3">
      <c r="B211" s="51"/>
      <c r="C211" s="51"/>
      <c r="D211" s="51"/>
      <c r="E211" s="51"/>
      <c r="F211" s="51"/>
      <c r="G211" s="51"/>
      <c r="H211" s="51"/>
      <c r="I211" s="51"/>
      <c r="J211" s="51"/>
    </row>
    <row r="212" spans="2:12" ht="14.6" x14ac:dyDescent="0.4">
      <c r="B212" s="51" t="s">
        <v>227</v>
      </c>
      <c r="C212" s="51"/>
      <c r="D212" s="51"/>
      <c r="E212" s="51"/>
      <c r="F212" s="227" t="s">
        <v>228</v>
      </c>
      <c r="G212" s="51"/>
      <c r="H212" s="51"/>
      <c r="I212" s="228">
        <v>18910</v>
      </c>
      <c r="J212" s="229" t="s">
        <v>226</v>
      </c>
      <c r="K212" s="225">
        <v>15.1</v>
      </c>
      <c r="L212" s="225">
        <v>780</v>
      </c>
    </row>
    <row r="213" spans="2:12" x14ac:dyDescent="0.3">
      <c r="B213" s="51"/>
      <c r="C213" s="51"/>
      <c r="D213" s="51"/>
      <c r="E213" s="51"/>
      <c r="F213" s="51"/>
      <c r="G213" s="51"/>
      <c r="H213" s="51"/>
      <c r="I213" s="51"/>
      <c r="J213" s="51"/>
    </row>
    <row r="214" spans="2:12" ht="14.6" x14ac:dyDescent="0.4">
      <c r="B214" s="51" t="s">
        <v>229</v>
      </c>
      <c r="C214" s="51"/>
      <c r="D214" s="51"/>
      <c r="E214" s="51"/>
      <c r="F214" s="227" t="s">
        <v>113</v>
      </c>
      <c r="G214" s="51"/>
      <c r="H214" s="51"/>
      <c r="I214" s="228">
        <v>14295</v>
      </c>
      <c r="J214" s="229">
        <v>3.3</v>
      </c>
      <c r="K214" s="230" t="s">
        <v>226</v>
      </c>
    </row>
    <row r="215" spans="2:12" x14ac:dyDescent="0.3">
      <c r="B215" s="51"/>
      <c r="C215" s="51"/>
      <c r="D215" s="51"/>
      <c r="E215" s="51"/>
      <c r="F215" s="51"/>
      <c r="G215" s="51"/>
      <c r="H215" s="51"/>
      <c r="I215" s="51"/>
      <c r="J215" s="51"/>
    </row>
    <row r="216" spans="2:12" ht="14.6" x14ac:dyDescent="0.4">
      <c r="B216" s="51" t="s">
        <v>230</v>
      </c>
      <c r="C216" s="51"/>
      <c r="D216" s="51"/>
      <c r="E216" s="51"/>
      <c r="F216" s="227" t="s">
        <v>225</v>
      </c>
      <c r="G216" s="51"/>
      <c r="H216" s="51"/>
      <c r="I216" s="228">
        <v>15190</v>
      </c>
      <c r="J216" s="229">
        <v>7.7</v>
      </c>
      <c r="K216" s="230" t="s">
        <v>226</v>
      </c>
    </row>
    <row r="217" spans="2:12" x14ac:dyDescent="0.3">
      <c r="B217" s="51"/>
      <c r="C217" s="51"/>
      <c r="D217" s="51"/>
      <c r="E217" s="51"/>
      <c r="F217" s="51"/>
      <c r="G217" s="51"/>
      <c r="H217" s="51"/>
      <c r="I217" s="51"/>
      <c r="J217" s="51"/>
    </row>
    <row r="218" spans="2:12" ht="14.6" x14ac:dyDescent="0.4">
      <c r="B218" s="51" t="s">
        <v>231</v>
      </c>
      <c r="C218" s="51"/>
      <c r="D218" s="51"/>
      <c r="E218" s="51"/>
      <c r="F218" s="227" t="s">
        <v>228</v>
      </c>
      <c r="G218" s="51"/>
      <c r="H218" s="51"/>
      <c r="I218" s="228">
        <v>26180</v>
      </c>
      <c r="J218" s="229" t="s">
        <v>226</v>
      </c>
      <c r="K218" s="225">
        <v>15.5</v>
      </c>
      <c r="L218" s="226">
        <v>1378</v>
      </c>
    </row>
    <row r="219" spans="2:12" x14ac:dyDescent="0.3">
      <c r="B219" s="51"/>
      <c r="C219" s="51"/>
      <c r="D219" s="51"/>
      <c r="E219" s="51"/>
      <c r="F219" s="51"/>
      <c r="G219" s="51"/>
      <c r="H219" s="51"/>
      <c r="I219" s="51"/>
      <c r="J219" s="51"/>
    </row>
    <row r="220" spans="2:12" ht="14.6" x14ac:dyDescent="0.4">
      <c r="B220" s="51" t="s">
        <v>232</v>
      </c>
      <c r="C220" s="51"/>
      <c r="D220" s="51"/>
      <c r="E220" s="51"/>
      <c r="F220" s="227" t="s">
        <v>113</v>
      </c>
      <c r="G220" s="51"/>
      <c r="H220" s="51"/>
      <c r="I220" s="228">
        <v>16290</v>
      </c>
      <c r="J220" s="229">
        <v>5.2</v>
      </c>
      <c r="K220" s="230" t="s">
        <v>226</v>
      </c>
    </row>
    <row r="221" spans="2:12" x14ac:dyDescent="0.3">
      <c r="B221" s="51"/>
      <c r="C221" s="51"/>
      <c r="D221" s="51"/>
      <c r="E221" s="51"/>
      <c r="F221" s="51"/>
      <c r="G221" s="51"/>
      <c r="H221" s="51"/>
      <c r="I221" s="51"/>
      <c r="J221" s="51"/>
    </row>
    <row r="222" spans="2:12" ht="14.6" x14ac:dyDescent="0.4">
      <c r="B222" s="51" t="s">
        <v>233</v>
      </c>
      <c r="C222" s="51"/>
      <c r="D222" s="51"/>
      <c r="E222" s="51"/>
      <c r="F222" s="227" t="s">
        <v>225</v>
      </c>
      <c r="G222" s="51"/>
      <c r="H222" s="51"/>
      <c r="I222" s="228">
        <v>13200</v>
      </c>
      <c r="J222" s="229">
        <v>4.5</v>
      </c>
      <c r="K222" s="230" t="s">
        <v>226</v>
      </c>
    </row>
    <row r="223" spans="2:12" x14ac:dyDescent="0.3">
      <c r="B223" s="51"/>
      <c r="C223" s="51"/>
      <c r="D223" s="51"/>
      <c r="E223" s="51"/>
      <c r="F223" s="51"/>
      <c r="G223" s="51"/>
      <c r="H223" s="51"/>
      <c r="I223" s="51"/>
      <c r="J223" s="51"/>
    </row>
    <row r="224" spans="2:12" ht="14.6" x14ac:dyDescent="0.4">
      <c r="B224" s="51" t="s">
        <v>234</v>
      </c>
      <c r="C224" s="51"/>
      <c r="D224" s="51"/>
      <c r="E224" s="51"/>
      <c r="F224" s="227" t="s">
        <v>228</v>
      </c>
      <c r="G224" s="51"/>
      <c r="H224" s="51"/>
      <c r="I224" s="228">
        <v>29393</v>
      </c>
      <c r="J224" s="229" t="s">
        <v>226</v>
      </c>
      <c r="K224" s="225">
        <v>13.5</v>
      </c>
    </row>
    <row r="226" spans="6:6" x14ac:dyDescent="0.3">
      <c r="F226" s="62"/>
    </row>
    <row r="227" spans="6:6" x14ac:dyDescent="0.3">
      <c r="F227" s="62"/>
    </row>
    <row r="228" spans="6:6" x14ac:dyDescent="0.3">
      <c r="F228" s="62"/>
    </row>
    <row r="229" spans="6:6" x14ac:dyDescent="0.3">
      <c r="F229" s="62"/>
    </row>
    <row r="230" spans="6:6" x14ac:dyDescent="0.3">
      <c r="F230" s="62"/>
    </row>
    <row r="231" spans="6:6" x14ac:dyDescent="0.3">
      <c r="F231" s="62"/>
    </row>
    <row r="232" spans="6:6" x14ac:dyDescent="0.3">
      <c r="F232" s="62"/>
    </row>
    <row r="233" spans="6:6" x14ac:dyDescent="0.3">
      <c r="F233" s="62"/>
    </row>
    <row r="234" spans="6:6" x14ac:dyDescent="0.3">
      <c r="F234" s="62"/>
    </row>
    <row r="235" spans="6:6" x14ac:dyDescent="0.3">
      <c r="F235" s="62"/>
    </row>
    <row r="236" spans="6:6" x14ac:dyDescent="0.3">
      <c r="F236" s="62"/>
    </row>
    <row r="237" spans="6:6" x14ac:dyDescent="0.3">
      <c r="F237" s="62"/>
    </row>
    <row r="238" spans="6:6" x14ac:dyDescent="0.3">
      <c r="F238" s="62"/>
    </row>
    <row r="239" spans="6:6" x14ac:dyDescent="0.3">
      <c r="F239" s="62"/>
    </row>
    <row r="240" spans="6:6" x14ac:dyDescent="0.3">
      <c r="F240" s="62"/>
    </row>
    <row r="241" spans="6:6" x14ac:dyDescent="0.3">
      <c r="F241" s="62"/>
    </row>
    <row r="242" spans="6:6" x14ac:dyDescent="0.3">
      <c r="F242" s="62"/>
    </row>
  </sheetData>
  <mergeCells count="67">
    <mergeCell ref="H143:H144"/>
    <mergeCell ref="B82:B126"/>
    <mergeCell ref="U94:V94"/>
    <mergeCell ref="D82:G82"/>
    <mergeCell ref="K94:L94"/>
    <mergeCell ref="N84:V84"/>
    <mergeCell ref="F88:G88"/>
    <mergeCell ref="F91:G91"/>
    <mergeCell ref="F86:G86"/>
    <mergeCell ref="P86:Q86"/>
    <mergeCell ref="P88:Q88"/>
    <mergeCell ref="P91:Q91"/>
    <mergeCell ref="D100:G100"/>
    <mergeCell ref="D84:L84"/>
    <mergeCell ref="K124:L124"/>
    <mergeCell ref="E87:G87"/>
    <mergeCell ref="F1:T1"/>
    <mergeCell ref="AE4:AF4"/>
    <mergeCell ref="B10:B40"/>
    <mergeCell ref="D10:G10"/>
    <mergeCell ref="O10:T10"/>
    <mergeCell ref="U10:V10"/>
    <mergeCell ref="F12:G12"/>
    <mergeCell ref="F13:G13"/>
    <mergeCell ref="F16:G16"/>
    <mergeCell ref="K20:L20"/>
    <mergeCell ref="O87:Q87"/>
    <mergeCell ref="E11:G11"/>
    <mergeCell ref="E47:G47"/>
    <mergeCell ref="AI33:AN33"/>
    <mergeCell ref="AI34:AN34"/>
    <mergeCell ref="AI69:AN69"/>
    <mergeCell ref="AI70:AN70"/>
    <mergeCell ref="B46:B76"/>
    <mergeCell ref="D46:G46"/>
    <mergeCell ref="O46:T46"/>
    <mergeCell ref="U46:V46"/>
    <mergeCell ref="F48:G48"/>
    <mergeCell ref="F49:G49"/>
    <mergeCell ref="F52:G52"/>
    <mergeCell ref="K56:L56"/>
    <mergeCell ref="BE125:BG125"/>
    <mergeCell ref="AL126:AN126"/>
    <mergeCell ref="B143:B144"/>
    <mergeCell ref="C143:C144"/>
    <mergeCell ref="D143:D144"/>
    <mergeCell ref="E143:E144"/>
    <mergeCell ref="F143:F144"/>
    <mergeCell ref="G143:G144"/>
    <mergeCell ref="I143:I144"/>
    <mergeCell ref="J143:J144"/>
    <mergeCell ref="K143:K144"/>
    <mergeCell ref="L143:L144"/>
    <mergeCell ref="M143:M144"/>
    <mergeCell ref="N143:N144"/>
    <mergeCell ref="O143:O144"/>
    <mergeCell ref="P143:P144"/>
    <mergeCell ref="Q143:Q144"/>
    <mergeCell ref="R143:R144"/>
    <mergeCell ref="S143:S144"/>
    <mergeCell ref="Z143:Z144"/>
    <mergeCell ref="T143:T144"/>
    <mergeCell ref="U143:U144"/>
    <mergeCell ref="V143:V144"/>
    <mergeCell ref="W143:W144"/>
    <mergeCell ref="X143:X144"/>
    <mergeCell ref="Y143:Y144"/>
  </mergeCells>
  <conditionalFormatting sqref="AC3:AD4">
    <cfRule type="cellIs" dxfId="1" priority="1" stopIfTrue="1" operator="equal">
      <formula>"L"</formula>
    </cfRule>
    <cfRule type="cellIs" dxfId="0" priority="2" stopIfTrue="1" operator="equal">
      <formula>"J"</formula>
    </cfRule>
  </conditionalFormatting>
  <dataValidations count="5">
    <dataValidation type="list" allowBlank="1" showInputMessage="1" showErrorMessage="1" sqref="E146:E199" xr:uid="{00000000-0002-0000-0000-000000000000}">
      <formula1>$B$136:$B$138</formula1>
    </dataValidation>
    <dataValidation type="list" allowBlank="1" showInputMessage="1" showErrorMessage="1" sqref="F146:F163 F173:F176 F180:F199" xr:uid="{00000000-0002-0000-0000-000001000000}">
      <formula1>$D$136:$D$139</formula1>
    </dataValidation>
    <dataValidation type="list" allowBlank="1" showInputMessage="1" showErrorMessage="1" sqref="F3" xr:uid="{00000000-0002-0000-0000-000002000000}">
      <formula1>$F$136:$F$140</formula1>
    </dataValidation>
    <dataValidation type="list" allowBlank="1" showInputMessage="1" showErrorMessage="1" sqref="E11 E47" xr:uid="{00000000-0002-0000-0000-000003000000}">
      <formula1>list_of_models</formula1>
    </dataValidation>
    <dataValidation type="list" allowBlank="1" showInputMessage="1" showErrorMessage="1" sqref="F177:F179 F164:F172" xr:uid="{00000000-0002-0000-0000-000004000000}">
      <formula1>$D$128:$D$131</formula1>
    </dataValidation>
  </dataValidations>
  <printOptions horizontalCentered="1" verticalCentered="1"/>
  <pageMargins left="0.31496062992125984" right="0.31496062992125984" top="0.19685039370078741" bottom="0.19685039370078741" header="0.31496062992125984" footer="0.31496062992125984"/>
  <pageSetup paperSize="9" scale="3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26</vt:i4>
      </vt:variant>
    </vt:vector>
  </HeadingPairs>
  <TitlesOfParts>
    <vt:vector size="27" baseType="lpstr">
      <vt:lpstr>Auto-Vergleich</vt:lpstr>
      <vt:lpstr>Annuity_car_1</vt:lpstr>
      <vt:lpstr>Annuity_car_2</vt:lpstr>
      <vt:lpstr>Car_1</vt:lpstr>
      <vt:lpstr>Car_2</vt:lpstr>
      <vt:lpstr>details_of_models</vt:lpstr>
      <vt:lpstr>Diesel</vt:lpstr>
      <vt:lpstr>Diesel_price</vt:lpstr>
      <vt:lpstr>Electrical</vt:lpstr>
      <vt:lpstr>Electrical_Energy_demand_car_1</vt:lpstr>
      <vt:lpstr>Electrical_Energy_demand_car_2</vt:lpstr>
      <vt:lpstr>Electricity_price</vt:lpstr>
      <vt:lpstr>Fossile_Energy_demand_car_1</vt:lpstr>
      <vt:lpstr>Fossile_Energy_demand_car_2</vt:lpstr>
      <vt:lpstr>Fossile_Fuel_demand_car_1</vt:lpstr>
      <vt:lpstr>Fossile_Fuel_demand_car_2</vt:lpstr>
      <vt:lpstr>Fuel_type_car_1</vt:lpstr>
      <vt:lpstr>Fuel_type_car_2</vt:lpstr>
      <vt:lpstr>Gas_price</vt:lpstr>
      <vt:lpstr>list_of_models</vt:lpstr>
      <vt:lpstr>LRMC_car_1</vt:lpstr>
      <vt:lpstr>LRMC_car_2</vt:lpstr>
      <vt:lpstr>Natural_gas</vt:lpstr>
      <vt:lpstr>NPV_car_1</vt:lpstr>
      <vt:lpstr>NPV_car_2</vt:lpstr>
      <vt:lpstr>Petrol</vt:lpstr>
      <vt:lpstr>Petrol_price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K@iman</dc:creator>
  <cp:keywords/>
  <dc:description/>
  <cp:lastModifiedBy>Martin Eichinger</cp:lastModifiedBy>
  <cp:revision/>
  <dcterms:created xsi:type="dcterms:W3CDTF">2012-11-06T18:56:43Z</dcterms:created>
  <dcterms:modified xsi:type="dcterms:W3CDTF">2023-08-05T18:11:32Z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d1c7476-f302-47ca-97a0-972f32671471_Enabled">
    <vt:lpwstr>true</vt:lpwstr>
  </property>
  <property fmtid="{D5CDD505-2E9C-101B-9397-08002B2CF9AE}" pid="3" name="MSIP_Label_2d1c7476-f302-47ca-97a0-972f32671471_SetDate">
    <vt:lpwstr>2021-07-16T11:02:08Z</vt:lpwstr>
  </property>
  <property fmtid="{D5CDD505-2E9C-101B-9397-08002B2CF9AE}" pid="4" name="MSIP_Label_2d1c7476-f302-47ca-97a0-972f32671471_Method">
    <vt:lpwstr>Standard</vt:lpwstr>
  </property>
  <property fmtid="{D5CDD505-2E9C-101B-9397-08002B2CF9AE}" pid="5" name="MSIP_Label_2d1c7476-f302-47ca-97a0-972f32671471_Name">
    <vt:lpwstr>Internal</vt:lpwstr>
  </property>
  <property fmtid="{D5CDD505-2E9C-101B-9397-08002B2CF9AE}" pid="6" name="MSIP_Label_2d1c7476-f302-47ca-97a0-972f32671471_SiteId">
    <vt:lpwstr>72e15514-5be9-46a8-8b0b-af9b1b77b3b8</vt:lpwstr>
  </property>
  <property fmtid="{D5CDD505-2E9C-101B-9397-08002B2CF9AE}" pid="7" name="MSIP_Label_2d1c7476-f302-47ca-97a0-972f32671471_ActionId">
    <vt:lpwstr>5c1cfaec-a75e-4f69-a79a-a1ea4ad936f1</vt:lpwstr>
  </property>
  <property fmtid="{D5CDD505-2E9C-101B-9397-08002B2CF9AE}" pid="8" name="MSIP_Label_2d1c7476-f302-47ca-97a0-972f32671471_ContentBits">
    <vt:lpwstr>0</vt:lpwstr>
  </property>
</Properties>
</file>